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ath\Downloads\"/>
    </mc:Choice>
  </mc:AlternateContent>
  <xr:revisionPtr revIDLastSave="0" documentId="8_{D45F24FA-A13A-4580-B374-B1DAF1B6DC8C}" xr6:coauthVersionLast="47" xr6:coauthVersionMax="47" xr10:uidLastSave="{00000000-0000-0000-0000-000000000000}"/>
  <bookViews>
    <workbookView xWindow="-110" yWindow="-110" windowWidth="19420" windowHeight="11500" xr2:uid="{AF68069E-CD0D-47BD-8C12-F126DF9CF0C9}"/>
  </bookViews>
  <sheets>
    <sheet name="User Input" sheetId="6" r:id="rId1"/>
    <sheet name="Calculations" sheetId="1" r:id="rId2"/>
    <sheet name="Stringer Design Values" sheetId="8" r:id="rId3"/>
    <sheet name="A and y&quot;" sheetId="2" r:id="rId4"/>
    <sheet name="Allowable Stresses" sheetId="3" r:id="rId5"/>
    <sheet name="Geometric Properties" sheetId="4" r:id="rId6"/>
    <sheet name="conversion" sheetId="5" r:id="rId7"/>
    <sheet name="Sheet1" sheetId="9" r:id="rId8"/>
    <sheet name="b-spacing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1" l="1"/>
  <c r="C73" i="1"/>
  <c r="H14" i="1"/>
  <c r="C28" i="1" s="1"/>
  <c r="B17" i="1"/>
  <c r="C27" i="1" s="1"/>
  <c r="E13" i="1"/>
  <c r="E12" i="1"/>
  <c r="H13" i="1"/>
  <c r="E17" i="1"/>
  <c r="E18" i="1" s="1"/>
  <c r="F36" i="1" s="1"/>
  <c r="F55" i="1" s="1"/>
  <c r="E16" i="1"/>
  <c r="E15" i="1"/>
  <c r="E19" i="1"/>
  <c r="B60" i="1" s="1"/>
  <c r="B19" i="1"/>
  <c r="B59" i="1" s="1"/>
  <c r="B16" i="1"/>
  <c r="B15" i="1"/>
  <c r="B62" i="1" s="1"/>
  <c r="E14" i="1"/>
  <c r="B63" i="1" s="1"/>
  <c r="B14" i="1"/>
  <c r="E11" i="1"/>
  <c r="B13" i="1"/>
  <c r="B12" i="1"/>
  <c r="B11" i="1"/>
  <c r="G6" i="1"/>
  <c r="H6" i="1" s="1"/>
  <c r="E29" i="1" s="1"/>
  <c r="G4" i="1"/>
  <c r="B6" i="1"/>
  <c r="D5" i="1"/>
  <c r="G5" i="1" s="1"/>
  <c r="B5" i="1"/>
  <c r="D3" i="1"/>
  <c r="D4" i="1" s="1"/>
  <c r="B3" i="1"/>
  <c r="B55" i="1"/>
  <c r="H12" i="1" l="1"/>
  <c r="B35" i="1" s="1"/>
  <c r="B54" i="1" s="1"/>
  <c r="B46" i="1"/>
  <c r="E48" i="1"/>
  <c r="C48" i="1"/>
  <c r="B47" i="1"/>
  <c r="H11" i="1"/>
  <c r="B28" i="1" s="1"/>
  <c r="H15" i="1"/>
  <c r="C47" i="1" s="1"/>
  <c r="C29" i="1"/>
  <c r="B18" i="1"/>
  <c r="B29" i="1"/>
  <c r="C36" i="1" s="1"/>
  <c r="H5" i="1"/>
  <c r="H4" i="1"/>
  <c r="G7" i="1"/>
  <c r="B87" i="1"/>
  <c r="B4" i="1"/>
  <c r="B7" i="1"/>
  <c r="B78" i="1"/>
  <c r="B34" i="1"/>
  <c r="B36" i="1"/>
  <c r="B27" i="1"/>
  <c r="D47" i="1" l="1"/>
  <c r="E28" i="1"/>
  <c r="E47" i="1"/>
  <c r="E27" i="1"/>
  <c r="E46" i="1"/>
  <c r="F34" i="1"/>
  <c r="F53" i="1" s="1"/>
  <c r="C46" i="1"/>
  <c r="D46" i="1" s="1"/>
  <c r="H17" i="1"/>
  <c r="F35" i="1"/>
  <c r="F54" i="1" s="1"/>
  <c r="D29" i="1"/>
  <c r="F29" i="1" s="1"/>
  <c r="H16" i="1"/>
  <c r="D28" i="1"/>
  <c r="C35" i="1"/>
  <c r="C54" i="1" s="1"/>
  <c r="D27" i="1"/>
  <c r="C34" i="1"/>
  <c r="C53" i="1" s="1"/>
  <c r="B53" i="1"/>
  <c r="F47" i="1" l="1"/>
  <c r="B22" i="1"/>
  <c r="F2" i="6" s="1"/>
  <c r="C59" i="1"/>
  <c r="D59" i="1" s="1"/>
  <c r="E59" i="1" s="1"/>
  <c r="C62" i="1" s="1"/>
  <c r="D62" i="1" s="1"/>
  <c r="C60" i="1"/>
  <c r="D60" i="1" s="1"/>
  <c r="E60" i="1" s="1"/>
  <c r="C63" i="1" s="1"/>
  <c r="D63" i="1" s="1"/>
  <c r="B48" i="1"/>
  <c r="D48" i="1" s="1"/>
  <c r="F48" i="1" s="1"/>
  <c r="F28" i="1"/>
  <c r="F46" i="1"/>
  <c r="D30" i="1"/>
  <c r="F27" i="1"/>
  <c r="F30" i="1" l="1"/>
  <c r="D31" i="1" s="1"/>
  <c r="C55" i="1"/>
  <c r="D49" i="1"/>
  <c r="F49" i="1"/>
  <c r="D54" i="1" l="1"/>
  <c r="D53" i="1"/>
  <c r="D55" i="1"/>
  <c r="D50" i="1"/>
  <c r="D36" i="1"/>
  <c r="E36" i="1" s="1"/>
  <c r="G36" i="1" s="1"/>
  <c r="B84" i="1"/>
  <c r="B85" i="1"/>
  <c r="D34" i="1"/>
  <c r="E34" i="1" s="1"/>
  <c r="G34" i="1" s="1"/>
  <c r="B88" i="1"/>
  <c r="B89" i="1" s="1"/>
  <c r="B75" i="1"/>
  <c r="B76" i="1" s="1"/>
  <c r="D35" i="1"/>
  <c r="E35" i="1" s="1"/>
  <c r="G35" i="1" s="1"/>
  <c r="E53" i="1" l="1"/>
  <c r="G53" i="1" s="1"/>
  <c r="E55" i="1"/>
  <c r="G55" i="1" s="1"/>
  <c r="E54" i="1"/>
  <c r="G54" i="1" s="1"/>
  <c r="G37" i="1"/>
  <c r="B80" i="1" s="1"/>
  <c r="F7" i="6" s="1"/>
  <c r="B86" i="1"/>
  <c r="G56" i="1" l="1"/>
  <c r="B39" i="1"/>
  <c r="F3" i="6" s="1"/>
  <c r="B90" i="1"/>
  <c r="B92" i="1" s="1"/>
  <c r="F8" i="6" s="1"/>
  <c r="B66" i="1" l="1"/>
  <c r="F5" i="6" s="1"/>
  <c r="B65" i="1"/>
  <c r="F4" i="6" s="1"/>
  <c r="F9" i="6" l="1"/>
</calcChain>
</file>

<file path=xl/sharedStrings.xml><?xml version="1.0" encoding="utf-8"?>
<sst xmlns="http://schemas.openxmlformats.org/spreadsheetml/2006/main" count="363" uniqueCount="189">
  <si>
    <t>Top Skin</t>
  </si>
  <si>
    <t>Bottom Skin</t>
  </si>
  <si>
    <t>Stringers</t>
  </si>
  <si>
    <t>A</t>
  </si>
  <si>
    <t>A (in^2/ft)</t>
  </si>
  <si>
    <t>I (in^4/ft)</t>
  </si>
  <si>
    <t>I(perp) (in^4/ft)</t>
  </si>
  <si>
    <t>Ft, Fb (psi)</t>
  </si>
  <si>
    <t>Fc (psi)</t>
  </si>
  <si>
    <t>Fs (psi)</t>
  </si>
  <si>
    <t>E</t>
  </si>
  <si>
    <t>A (in^2)</t>
  </si>
  <si>
    <t>I(x-x) in^4</t>
  </si>
  <si>
    <t>Fv (psi)</t>
  </si>
  <si>
    <t>E (psi)</t>
  </si>
  <si>
    <t>b distance (in)</t>
  </si>
  <si>
    <t>No. of Stringers</t>
  </si>
  <si>
    <t>wΔ(ts) (psf)</t>
  </si>
  <si>
    <t>Panel Width (ft)</t>
  </si>
  <si>
    <t>Panel Width (in)</t>
  </si>
  <si>
    <t>Stringer Width (in)</t>
  </si>
  <si>
    <t>No. of Spans</t>
  </si>
  <si>
    <t>Clear Distance (in)</t>
  </si>
  <si>
    <t>top</t>
  </si>
  <si>
    <t>str</t>
  </si>
  <si>
    <t>bot</t>
  </si>
  <si>
    <t>Area (in^2)</t>
  </si>
  <si>
    <t>El (psi)</t>
  </si>
  <si>
    <t>AEl</t>
  </si>
  <si>
    <t>w∆</t>
  </si>
  <si>
    <t>Panel Length (ft)</t>
  </si>
  <si>
    <t>Panel Length (in)</t>
  </si>
  <si>
    <t>El</t>
  </si>
  <si>
    <t>h</t>
  </si>
  <si>
    <t>y</t>
  </si>
  <si>
    <t>Aely</t>
  </si>
  <si>
    <t>I</t>
  </si>
  <si>
    <t>z^2 (in^2)</t>
  </si>
  <si>
    <t>Ig</t>
  </si>
  <si>
    <t>ElIg</t>
  </si>
  <si>
    <t>G</t>
  </si>
  <si>
    <t>z^2</t>
  </si>
  <si>
    <t>In</t>
  </si>
  <si>
    <t>ElIn</t>
  </si>
  <si>
    <t>Fc'</t>
  </si>
  <si>
    <t>Ft'</t>
  </si>
  <si>
    <t>wbb</t>
  </si>
  <si>
    <t>wbt</t>
  </si>
  <si>
    <t>Face grain || to stringers</t>
  </si>
  <si>
    <t>Face Grain ⊥ to Stringers</t>
  </si>
  <si>
    <t>y' (in.)</t>
  </si>
  <si>
    <t>Plywood Thickness (in.)</t>
  </si>
  <si>
    <t>b</t>
  </si>
  <si>
    <t>Clear Distance</t>
  </si>
  <si>
    <t>ws</t>
  </si>
  <si>
    <t>wv</t>
  </si>
  <si>
    <t>cd/b</t>
  </si>
  <si>
    <t>5/16-u</t>
  </si>
  <si>
    <t>3/8-u</t>
  </si>
  <si>
    <t>15/32-u</t>
  </si>
  <si>
    <t>1/2-u</t>
  </si>
  <si>
    <t>19/32-u</t>
  </si>
  <si>
    <t>5/8-u</t>
  </si>
  <si>
    <t>23/32-u</t>
  </si>
  <si>
    <t>1/4-s</t>
  </si>
  <si>
    <t>11/32-s</t>
  </si>
  <si>
    <t>3/8-s</t>
  </si>
  <si>
    <t>15/32-s</t>
  </si>
  <si>
    <t>1/2-s</t>
  </si>
  <si>
    <t>19/32-s</t>
  </si>
  <si>
    <t>5/8-s</t>
  </si>
  <si>
    <t>23/32-s</t>
  </si>
  <si>
    <t>3/4-s</t>
  </si>
  <si>
    <t>1/2-t</t>
  </si>
  <si>
    <t>19/32-t</t>
  </si>
  <si>
    <t>5/8-t</t>
  </si>
  <si>
    <t>23/32-t</t>
  </si>
  <si>
    <t>3/4-t</t>
  </si>
  <si>
    <t>1-1/8-t</t>
  </si>
  <si>
    <t>y'</t>
  </si>
  <si>
    <t>Qs</t>
  </si>
  <si>
    <t>ds</t>
  </si>
  <si>
    <t>Fst</t>
  </si>
  <si>
    <t>Astr</t>
  </si>
  <si>
    <t>dstr</t>
  </si>
  <si>
    <t>Qstr</t>
  </si>
  <si>
    <t>Atop</t>
  </si>
  <si>
    <t>dtop</t>
  </si>
  <si>
    <t>Qtop</t>
  </si>
  <si>
    <t>Qv</t>
  </si>
  <si>
    <t>Species Group</t>
  </si>
  <si>
    <t>S-1</t>
  </si>
  <si>
    <t>S-2</t>
  </si>
  <si>
    <t>S-3</t>
  </si>
  <si>
    <t>Fb, Ft</t>
  </si>
  <si>
    <t>Fc</t>
  </si>
  <si>
    <t>Fv</t>
  </si>
  <si>
    <t>Fs</t>
  </si>
  <si>
    <t>3/4-u</t>
  </si>
  <si>
    <t>7/8-u</t>
  </si>
  <si>
    <t>1-u</t>
  </si>
  <si>
    <t>1-1/8-u</t>
  </si>
  <si>
    <t>7/8-s</t>
  </si>
  <si>
    <t>1-s</t>
  </si>
  <si>
    <t>1-1/8-s</t>
  </si>
  <si>
    <t>Top Skin:</t>
  </si>
  <si>
    <t>Grade-Stress Level</t>
  </si>
  <si>
    <t>Group</t>
  </si>
  <si>
    <t>Bottom Skin:</t>
  </si>
  <si>
    <t>Width of Skin (in.)</t>
  </si>
  <si>
    <t>Stringers:</t>
  </si>
  <si>
    <t>Number of Stringers</t>
  </si>
  <si>
    <t>Stringer Height</t>
  </si>
  <si>
    <t>Width (ft)</t>
  </si>
  <si>
    <t>Length (ft)</t>
  </si>
  <si>
    <t>Stringer Width (in.)</t>
  </si>
  <si>
    <t>Stringer Height (in.)</t>
  </si>
  <si>
    <t>A (in.²)</t>
  </si>
  <si>
    <t>Stress Applied Parallel to Face Grain</t>
  </si>
  <si>
    <t>Stress Applied Perpendicular to Face Grain</t>
  </si>
  <si>
    <r>
      <t>A (in.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/ft)</t>
    </r>
  </si>
  <si>
    <r>
      <t>I (in.</t>
    </r>
    <r>
      <rPr>
        <vertAlign val="superscript"/>
        <sz val="12"/>
        <rFont val="Times New Roman"/>
        <family val="1"/>
      </rPr>
      <t>4</t>
    </r>
    <r>
      <rPr>
        <sz val="12"/>
        <rFont val="Times New Roman"/>
        <family val="1"/>
      </rPr>
      <t>/ft)</t>
    </r>
  </si>
  <si>
    <r>
      <t>KS (in.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/ft)</t>
    </r>
  </si>
  <si>
    <r>
      <t>Ib/Q (in.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/ft)</t>
    </r>
  </si>
  <si>
    <t>-</t>
  </si>
  <si>
    <t>3-layer</t>
  </si>
  <si>
    <t>5-layer</t>
  </si>
  <si>
    <t>Douglas Fir-Larch</t>
  </si>
  <si>
    <t>Douglas Fir-South</t>
  </si>
  <si>
    <t>Eastern Softwoods</t>
  </si>
  <si>
    <t>Eastern White Pine</t>
  </si>
  <si>
    <t>Hem-Fir</t>
  </si>
  <si>
    <t>Redwood</t>
  </si>
  <si>
    <t>Spruce-Pine-Fir</t>
  </si>
  <si>
    <t>Spruce-Pine-Fir (South)</t>
  </si>
  <si>
    <t>Western Woods</t>
  </si>
  <si>
    <t>Southern Pine</t>
  </si>
  <si>
    <t>Mixed Southern Pine</t>
  </si>
  <si>
    <t>Select Structural</t>
  </si>
  <si>
    <t>No. 1</t>
  </si>
  <si>
    <t>No. 2</t>
  </si>
  <si>
    <t>No. 3</t>
  </si>
  <si>
    <t>Stud</t>
  </si>
  <si>
    <t>Construction</t>
  </si>
  <si>
    <t>Standard</t>
  </si>
  <si>
    <t>Utility</t>
  </si>
  <si>
    <t>No.1 &amp; Btr.</t>
  </si>
  <si>
    <t>Stringer Species</t>
  </si>
  <si>
    <t>Stringer Grade</t>
  </si>
  <si>
    <t>User Input:</t>
  </si>
  <si>
    <t>Panel Dimensions:</t>
  </si>
  <si>
    <r>
      <t>w</t>
    </r>
    <r>
      <rPr>
        <vertAlign val="subscript"/>
        <sz val="12"/>
        <color theme="1"/>
        <rFont val="Aptos Narrow"/>
        <family val="2"/>
      </rPr>
      <t>Δ(</t>
    </r>
    <r>
      <rPr>
        <vertAlign val="subscript"/>
        <sz val="10.8"/>
        <color theme="1"/>
        <rFont val="Times New Roman"/>
        <family val="1"/>
      </rPr>
      <t>ts)</t>
    </r>
  </si>
  <si>
    <r>
      <t>w</t>
    </r>
    <r>
      <rPr>
        <vertAlign val="subscript"/>
        <sz val="12"/>
        <color theme="1"/>
        <rFont val="Aptos Narrow"/>
        <family val="2"/>
      </rPr>
      <t>Δ</t>
    </r>
  </si>
  <si>
    <r>
      <t>w</t>
    </r>
    <r>
      <rPr>
        <vertAlign val="subscript"/>
        <sz val="12"/>
        <color theme="1"/>
        <rFont val="Times New Roman"/>
        <family val="1"/>
      </rPr>
      <t>bt</t>
    </r>
  </si>
  <si>
    <r>
      <t>w</t>
    </r>
    <r>
      <rPr>
        <vertAlign val="subscript"/>
        <sz val="12"/>
        <color theme="1"/>
        <rFont val="Times New Roman"/>
        <family val="1"/>
      </rPr>
      <t>bb</t>
    </r>
  </si>
  <si>
    <r>
      <t>w</t>
    </r>
    <r>
      <rPr>
        <vertAlign val="subscript"/>
        <sz val="12"/>
        <color theme="1"/>
        <rFont val="Times New Roman"/>
        <family val="1"/>
      </rPr>
      <t>p</t>
    </r>
  </si>
  <si>
    <r>
      <t>w</t>
    </r>
    <r>
      <rPr>
        <vertAlign val="subscript"/>
        <sz val="12"/>
        <color theme="1"/>
        <rFont val="Times New Roman"/>
        <family val="1"/>
      </rPr>
      <t>s</t>
    </r>
  </si>
  <si>
    <r>
      <t>w</t>
    </r>
    <r>
      <rPr>
        <vertAlign val="subscript"/>
        <sz val="12"/>
        <color theme="1"/>
        <rFont val="Times New Roman"/>
        <family val="1"/>
      </rPr>
      <t>v</t>
    </r>
  </si>
  <si>
    <t>Top-Skin Deflection</t>
  </si>
  <si>
    <t>Overall Panel Deflection</t>
  </si>
  <si>
    <t>Bending in Top Skin</t>
  </si>
  <si>
    <t>Bending in Bottom Skin</t>
  </si>
  <si>
    <t>Stress in Splice Plate</t>
  </si>
  <si>
    <t>Rolling Shear Stress</t>
  </si>
  <si>
    <t>Horizontal Shear Stress</t>
  </si>
  <si>
    <t>Effective width</t>
  </si>
  <si>
    <t>Governing Allowable Load: (psf)</t>
  </si>
  <si>
    <t>Allowable Loads: (all in psf)</t>
  </si>
  <si>
    <t>A. Choose a trial section of stringers and plywood</t>
  </si>
  <si>
    <t>A1. Construction Details:</t>
  </si>
  <si>
    <t>A2. Geometric properties and allowable stresses of the components:</t>
  </si>
  <si>
    <t>B. Determine the allowable uniform load due to top-skin deflection between stringers</t>
  </si>
  <si>
    <t>C. Determine the allowable uniform load due to overall panel deflection</t>
  </si>
  <si>
    <t>C1. Locate the neutral axis for deflection:</t>
  </si>
  <si>
    <t>C2. Calculate the gross stiffness factor</t>
  </si>
  <si>
    <t>C3. Calculate the allowable uniform load due to deflection</t>
  </si>
  <si>
    <t>D. Determine the allowable uniform load due to bending in the top and bottom skins</t>
  </si>
  <si>
    <t>D1. Determine the location of the neutral axis for bending</t>
  </si>
  <si>
    <t>D2. Calculate the net stiffness factor</t>
  </si>
  <si>
    <t>D3. Calculate the allowable stress for the top and bottom skins</t>
  </si>
  <si>
    <t>D4. Calculate the allowable uniform load due to bending for both skins</t>
  </si>
  <si>
    <t>E. Determine the allowable uniform load due to tensile stress in the splice plate (SKIP)</t>
  </si>
  <si>
    <t>F. Determine the allowable uniform load due to rolling shear stress</t>
  </si>
  <si>
    <t>F1. Calculate the statical moment for rolling shear</t>
  </si>
  <si>
    <t>F2. Calculate the allowable rolling shear capacity</t>
  </si>
  <si>
    <t>F3. Calculate the allowable uniform load due to rolling shear stress</t>
  </si>
  <si>
    <t>G. Determine the allowable uniform load due to horizontal shear stress</t>
  </si>
  <si>
    <t>G1. Calculate the statical moment for horizontal shear stress</t>
  </si>
  <si>
    <t>G2. Calculate the allowanle uniform load due to horizontal shear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</si>
</sst>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.0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6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bscript"/>
      <sz val="12"/>
      <color theme="1"/>
      <name val="Aptos Narrow"/>
      <family val="2"/>
    </font>
    <font>
      <vertAlign val="subscript"/>
      <sz val="10.8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/>
    <xf numFmtId="2" fontId="2" fillId="0" borderId="0" xfId="0" applyNumberFormat="1" applyFont="1"/>
    <xf numFmtId="4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164" fontId="2" fillId="0" borderId="0" xfId="0" applyNumberFormat="1" applyFont="1"/>
    <xf numFmtId="0" fontId="4" fillId="0" borderId="0" xfId="0" applyFont="1"/>
    <xf numFmtId="16" fontId="2" fillId="0" borderId="0" xfId="0" applyNumberFormat="1" applyFont="1"/>
    <xf numFmtId="0" fontId="2" fillId="2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2" fontId="2" fillId="10" borderId="0" xfId="0" applyNumberFormat="1" applyFont="1" applyFill="1"/>
    <xf numFmtId="2" fontId="2" fillId="9" borderId="0" xfId="0" applyNumberFormat="1" applyFont="1" applyFill="1"/>
    <xf numFmtId="2" fontId="3" fillId="11" borderId="1" xfId="0" applyNumberFormat="1" applyFont="1" applyFill="1" applyBorder="1" applyAlignment="1">
      <alignment horizontal="center"/>
    </xf>
    <xf numFmtId="164" fontId="2" fillId="9" borderId="0" xfId="0" applyNumberFormat="1" applyFont="1" applyFill="1"/>
    <xf numFmtId="165" fontId="2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165" fontId="2" fillId="9" borderId="0" xfId="0" applyNumberFormat="1" applyFont="1" applyFill="1"/>
    <xf numFmtId="165" fontId="2" fillId="10" borderId="0" xfId="0" applyNumberFormat="1" applyFont="1" applyFill="1"/>
    <xf numFmtId="0" fontId="6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569027</xdr:colOff>
      <xdr:row>0</xdr:row>
      <xdr:rowOff>0</xdr:rowOff>
    </xdr:from>
    <xdr:to>
      <xdr:col>15</xdr:col>
      <xdr:colOff>339768</xdr:colOff>
      <xdr:row>13</xdr:row>
      <xdr:rowOff>30323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0403D0-33B5-A7C8-DDAA-3D93B79CB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3248" y="0"/>
          <a:ext cx="5263078" cy="2817726"/>
        </a:xfrm>
        <a:prstGeom prst="rect">
          <a:avLst/>
        </a:prstGeom>
      </xdr:spPr>
    </xdr:pic>
    <xdr:clientData/>
  </xdr:twoCellAnchor>
  <xdr:twoCellAnchor editAs="oneCell">
    <xdr:from>
      <xdr:col>7</xdr:col>
      <xdr:colOff>8246</xdr:colOff>
      <xdr:row>12</xdr:row>
      <xdr:rowOff>164936</xdr:rowOff>
    </xdr:from>
    <xdr:to>
      <xdr:col>15</xdr:col>
      <xdr:colOff>475774</xdr:colOff>
      <xdr:row>26</xdr:row>
      <xdr:rowOff>132114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8FB8AA-4248-07A1-27C9-D56813A65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2727" y="2754417"/>
          <a:ext cx="5349606" cy="2738087"/>
        </a:xfrm>
        <a:prstGeom prst="rect">
          <a:avLst/>
        </a:prstGeom>
      </xdr:spPr>
    </xdr:pic>
    <xdr:clientData/>
  </xdr:twoCellAnchor>
  <xdr:twoCellAnchor editAs="oneCell">
    <xdr:from>
      <xdr:col>7</xdr:col>
      <xdr:colOff>115455</xdr:colOff>
      <xdr:row>26</xdr:row>
      <xdr:rowOff>156688</xdr:rowOff>
    </xdr:from>
    <xdr:to>
      <xdr:col>15</xdr:col>
      <xdr:colOff>267855</xdr:colOff>
      <xdr:row>41</xdr:row>
      <xdr:rowOff>104581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98F2FA-5483-59F5-E430-10868980A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9936" y="5517078"/>
          <a:ext cx="5034478" cy="2916724"/>
        </a:xfrm>
        <a:prstGeom prst="rect">
          <a:avLst/>
        </a:prstGeom>
      </xdr:spPr>
    </xdr:pic>
    <xdr:clientData/>
  </xdr:twoCellAnchor>
  <xdr:twoCellAnchor editAs="oneCell">
    <xdr:from>
      <xdr:col>7</xdr:col>
      <xdr:colOff>131949</xdr:colOff>
      <xdr:row>41</xdr:row>
      <xdr:rowOff>123703</xdr:rowOff>
    </xdr:from>
    <xdr:to>
      <xdr:col>16</xdr:col>
      <xdr:colOff>484789</xdr:colOff>
      <xdr:row>56</xdr:row>
      <xdr:rowOff>161803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68411E-C816-69B6-10D7-E1DC0CF78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66430" y="8452924"/>
          <a:ext cx="5845177" cy="3006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2117-5A5B-4709-B72A-77EBF61536E2}">
  <dimension ref="A1:V26"/>
  <sheetViews>
    <sheetView tabSelected="1" zoomScale="89" workbookViewId="0">
      <selection activeCell="D18" sqref="D18"/>
    </sheetView>
  </sheetViews>
  <sheetFormatPr defaultRowHeight="15.5" x14ac:dyDescent="0.35"/>
  <cols>
    <col min="1" max="1" width="19.08984375" style="1" bestFit="1" customWidth="1"/>
    <col min="2" max="2" width="22.1796875" style="1" bestFit="1" customWidth="1"/>
    <col min="3" max="3" width="8.7265625" style="1"/>
    <col min="4" max="4" width="24.81640625" style="1" customWidth="1"/>
    <col min="5" max="5" width="8.1796875" style="1" customWidth="1"/>
    <col min="6" max="6" width="11.36328125" style="1" customWidth="1"/>
    <col min="7" max="16384" width="8.7265625" style="1"/>
  </cols>
  <sheetData>
    <row r="1" spans="1:22" ht="20" x14ac:dyDescent="0.4">
      <c r="A1" s="34" t="s">
        <v>149</v>
      </c>
      <c r="B1" s="34"/>
      <c r="D1" s="31" t="s">
        <v>167</v>
      </c>
      <c r="E1" s="31"/>
      <c r="F1" s="31"/>
    </row>
    <row r="2" spans="1:22" ht="17" x14ac:dyDescent="0.45">
      <c r="A2" s="33" t="s">
        <v>150</v>
      </c>
      <c r="B2" s="33"/>
      <c r="D2" s="18" t="s">
        <v>158</v>
      </c>
      <c r="E2" s="21" t="s">
        <v>151</v>
      </c>
      <c r="F2" s="19">
        <f>Calculations!B22</f>
        <v>83.965014577259481</v>
      </c>
    </row>
    <row r="3" spans="1:22" ht="17" x14ac:dyDescent="0.45">
      <c r="A3" s="16" t="s">
        <v>114</v>
      </c>
      <c r="B3" s="20">
        <v>3.33</v>
      </c>
      <c r="D3" s="18" t="s">
        <v>159</v>
      </c>
      <c r="E3" s="21" t="s">
        <v>152</v>
      </c>
      <c r="F3" s="19">
        <f>Calculations!B39</f>
        <v>252.21606940868605</v>
      </c>
    </row>
    <row r="4" spans="1:22" ht="17.5" x14ac:dyDescent="0.45">
      <c r="A4" s="16" t="s">
        <v>113</v>
      </c>
      <c r="B4" s="20">
        <v>4</v>
      </c>
      <c r="D4" s="18" t="s">
        <v>160</v>
      </c>
      <c r="E4" s="21" t="s">
        <v>153</v>
      </c>
      <c r="F4" s="19">
        <f>Calculations!B65</f>
        <v>180.86606820397816</v>
      </c>
      <c r="V4"/>
    </row>
    <row r="5" spans="1:22" ht="17.5" x14ac:dyDescent="0.45">
      <c r="A5" s="33" t="s">
        <v>105</v>
      </c>
      <c r="B5" s="33"/>
      <c r="D5" s="18" t="s">
        <v>161</v>
      </c>
      <c r="E5" s="21" t="s">
        <v>154</v>
      </c>
      <c r="F5" s="19">
        <f>Calculations!B66</f>
        <v>219.23159782300382</v>
      </c>
    </row>
    <row r="6" spans="1:22" ht="17.5" x14ac:dyDescent="0.45">
      <c r="A6" s="16" t="s">
        <v>109</v>
      </c>
      <c r="B6" s="17" t="s">
        <v>62</v>
      </c>
      <c r="D6" s="18" t="s">
        <v>162</v>
      </c>
      <c r="E6" s="21" t="s">
        <v>155</v>
      </c>
      <c r="F6" s="19" t="s">
        <v>124</v>
      </c>
    </row>
    <row r="7" spans="1:22" ht="17.5" x14ac:dyDescent="0.45">
      <c r="A7" s="16" t="s">
        <v>106</v>
      </c>
      <c r="B7" s="17" t="s">
        <v>93</v>
      </c>
      <c r="D7" s="18" t="s">
        <v>163</v>
      </c>
      <c r="E7" s="21" t="s">
        <v>156</v>
      </c>
      <c r="F7" s="19">
        <f>Calculations!B80</f>
        <v>99.928640290969327</v>
      </c>
    </row>
    <row r="8" spans="1:22" ht="17.5" x14ac:dyDescent="0.45">
      <c r="A8" s="16" t="s">
        <v>107</v>
      </c>
      <c r="B8" s="17">
        <v>3</v>
      </c>
      <c r="D8" s="18" t="s">
        <v>164</v>
      </c>
      <c r="E8" s="21" t="s">
        <v>157</v>
      </c>
      <c r="F8" s="19">
        <f>Calculations!B92</f>
        <v>211.92554399679466</v>
      </c>
    </row>
    <row r="9" spans="1:22" x14ac:dyDescent="0.35">
      <c r="A9" s="33" t="s">
        <v>108</v>
      </c>
      <c r="B9" s="33"/>
      <c r="D9" s="32" t="s">
        <v>166</v>
      </c>
      <c r="E9" s="32"/>
      <c r="F9" s="24">
        <f>MIN(F2:F8)</f>
        <v>83.965014577259481</v>
      </c>
    </row>
    <row r="10" spans="1:22" x14ac:dyDescent="0.35">
      <c r="A10" s="16" t="s">
        <v>109</v>
      </c>
      <c r="B10" s="17" t="s">
        <v>62</v>
      </c>
    </row>
    <row r="11" spans="1:22" x14ac:dyDescent="0.35">
      <c r="A11" s="16" t="s">
        <v>106</v>
      </c>
      <c r="B11" s="17" t="s">
        <v>93</v>
      </c>
    </row>
    <row r="12" spans="1:22" x14ac:dyDescent="0.35">
      <c r="A12" s="16" t="s">
        <v>107</v>
      </c>
      <c r="B12" s="17">
        <v>3</v>
      </c>
    </row>
    <row r="13" spans="1:22" x14ac:dyDescent="0.35">
      <c r="A13" s="33" t="s">
        <v>110</v>
      </c>
      <c r="B13" s="33"/>
    </row>
    <row r="14" spans="1:22" x14ac:dyDescent="0.35">
      <c r="A14" s="16" t="s">
        <v>111</v>
      </c>
      <c r="B14" s="17">
        <v>4</v>
      </c>
    </row>
    <row r="15" spans="1:22" x14ac:dyDescent="0.35">
      <c r="A15" s="16" t="s">
        <v>115</v>
      </c>
      <c r="B15" s="17">
        <v>1.5</v>
      </c>
    </row>
    <row r="16" spans="1:22" x14ac:dyDescent="0.35">
      <c r="A16" s="16" t="s">
        <v>116</v>
      </c>
      <c r="B16" s="17">
        <v>1.125</v>
      </c>
    </row>
    <row r="17" spans="1:21" x14ac:dyDescent="0.35">
      <c r="A17" s="16" t="s">
        <v>147</v>
      </c>
      <c r="B17" s="17" t="s">
        <v>133</v>
      </c>
    </row>
    <row r="18" spans="1:21" x14ac:dyDescent="0.35">
      <c r="A18" s="16" t="s">
        <v>148</v>
      </c>
      <c r="B18" s="17" t="s">
        <v>140</v>
      </c>
    </row>
    <row r="26" spans="1:21" x14ac:dyDescent="0.35">
      <c r="U26"/>
    </row>
  </sheetData>
  <mergeCells count="7">
    <mergeCell ref="D1:F1"/>
    <mergeCell ref="D9:E9"/>
    <mergeCell ref="A5:B5"/>
    <mergeCell ref="A9:B9"/>
    <mergeCell ref="A13:B13"/>
    <mergeCell ref="A1:B1"/>
    <mergeCell ref="A2:B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096C545-C43E-407B-822D-0301778F1F6D}">
          <x14:formula1>
            <xm:f>'Stringer Design Values'!$A$2:$A$12</xm:f>
          </x14:formula1>
          <xm:sqref>B17</xm:sqref>
        </x14:dataValidation>
        <x14:dataValidation type="list" allowBlank="1" showInputMessage="1" showErrorMessage="1" xr:uid="{922F48BD-D232-4DFE-85D1-615BA65EE998}">
          <x14:formula1>
            <xm:f>conversion!$E$1:$E$29</xm:f>
          </x14:formula1>
          <xm:sqref>B6 B10</xm:sqref>
        </x14:dataValidation>
        <x14:dataValidation type="list" allowBlank="1" showInputMessage="1" showErrorMessage="1" xr:uid="{F39EB37F-0F6E-4D6D-8848-A41C02F5B66A}">
          <x14:formula1>
            <xm:f>'Allowable Stresses'!$C$1:$E$1</xm:f>
          </x14:formula1>
          <xm:sqref>B7 B11</xm:sqref>
        </x14:dataValidation>
        <x14:dataValidation type="list" allowBlank="1" showInputMessage="1" showErrorMessage="1" xr:uid="{2184A494-C5C7-4152-99CD-034DE6C44FA7}">
          <x14:formula1>
            <xm:f>'Allowable Stresses'!$B$2:$B$5</xm:f>
          </x14:formula1>
          <xm:sqref>B8 B12</xm:sqref>
        </x14:dataValidation>
        <x14:dataValidation type="list" allowBlank="1" showInputMessage="1" showErrorMessage="1" xr:uid="{65988FFD-79EB-4941-9653-88DC639CC80C}">
          <x14:formula1>
            <xm:f>'Stringer Design Values'!$B$1:$J$1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00CC7-9BBC-487E-B34D-2F94E8E659E7}">
  <sheetPr>
    <pageSetUpPr fitToPage="1"/>
  </sheetPr>
  <dimension ref="A1:H92"/>
  <sheetViews>
    <sheetView topLeftCell="A89" zoomScale="78" workbookViewId="0">
      <selection activeCell="B92" sqref="B92"/>
    </sheetView>
  </sheetViews>
  <sheetFormatPr defaultRowHeight="15.5" x14ac:dyDescent="0.35"/>
  <cols>
    <col min="1" max="1" width="18.08984375" style="8" customWidth="1"/>
    <col min="2" max="2" width="20" style="8" bestFit="1" customWidth="1"/>
    <col min="3" max="3" width="16.54296875" style="8" bestFit="1" customWidth="1"/>
    <col min="4" max="4" width="13.54296875" style="8" bestFit="1" customWidth="1"/>
    <col min="5" max="5" width="11.1796875" style="8" bestFit="1" customWidth="1"/>
    <col min="6" max="6" width="12.36328125" style="8" bestFit="1" customWidth="1"/>
    <col min="7" max="7" width="15.7265625" style="8" bestFit="1" customWidth="1"/>
    <col min="8" max="8" width="14" style="8" bestFit="1" customWidth="1"/>
    <col min="9" max="9" width="8.90625" style="8" bestFit="1" customWidth="1"/>
    <col min="10" max="11" width="8.7265625" style="8"/>
    <col min="12" max="12" width="8.90625" style="8" bestFit="1" customWidth="1"/>
    <col min="13" max="13" width="9.6328125" style="8" bestFit="1" customWidth="1"/>
    <col min="14" max="14" width="9.90625" style="8" bestFit="1" customWidth="1"/>
    <col min="15" max="15" width="8.90625" style="8" bestFit="1" customWidth="1"/>
    <col min="16" max="16" width="11" style="8" bestFit="1" customWidth="1"/>
    <col min="17" max="17" width="8.90625" style="8" bestFit="1" customWidth="1"/>
    <col min="18" max="16384" width="8.7265625" style="8"/>
  </cols>
  <sheetData>
    <row r="1" spans="1:8" x14ac:dyDescent="0.35">
      <c r="A1" s="27" t="s">
        <v>168</v>
      </c>
    </row>
    <row r="2" spans="1:8" x14ac:dyDescent="0.35">
      <c r="A2" s="27" t="s">
        <v>169</v>
      </c>
    </row>
    <row r="3" spans="1:8" x14ac:dyDescent="0.35">
      <c r="A3" s="8" t="s">
        <v>18</v>
      </c>
      <c r="B3" s="8">
        <f>'User Input'!B4</f>
        <v>4</v>
      </c>
      <c r="C3" s="8" t="s">
        <v>30</v>
      </c>
      <c r="D3" s="8">
        <f>'User Input'!B3</f>
        <v>3.33</v>
      </c>
      <c r="G3" s="8" t="s">
        <v>33</v>
      </c>
      <c r="H3" s="8" t="s">
        <v>34</v>
      </c>
    </row>
    <row r="4" spans="1:8" x14ac:dyDescent="0.35">
      <c r="A4" s="8" t="s">
        <v>19</v>
      </c>
      <c r="B4" s="8">
        <f>B3*12</f>
        <v>48</v>
      </c>
      <c r="C4" s="8" t="s">
        <v>31</v>
      </c>
      <c r="D4" s="8">
        <f>D3*12</f>
        <v>39.96</v>
      </c>
      <c r="F4" s="8" t="s">
        <v>23</v>
      </c>
      <c r="G4" s="8">
        <f>LOOKUP('User Input'!B6,conversion!A1:A29,conversion!B1:B29)</f>
        <v>0.625</v>
      </c>
      <c r="H4" s="8">
        <f>G4*0.5+G5+G6</f>
        <v>2.0625</v>
      </c>
    </row>
    <row r="5" spans="1:8" x14ac:dyDescent="0.35">
      <c r="A5" s="8" t="s">
        <v>20</v>
      </c>
      <c r="B5" s="8">
        <f>'User Input'!B15</f>
        <v>1.5</v>
      </c>
      <c r="C5" s="8" t="s">
        <v>112</v>
      </c>
      <c r="D5" s="8">
        <f>'User Input'!B16</f>
        <v>1.125</v>
      </c>
      <c r="F5" s="8" t="s">
        <v>24</v>
      </c>
      <c r="G5" s="8">
        <f>D5</f>
        <v>1.125</v>
      </c>
      <c r="H5" s="8">
        <f>G5*0.5+G6</f>
        <v>1.1875</v>
      </c>
    </row>
    <row r="6" spans="1:8" x14ac:dyDescent="0.35">
      <c r="A6" s="8" t="s">
        <v>16</v>
      </c>
      <c r="B6" s="8">
        <f>'User Input'!B14</f>
        <v>4</v>
      </c>
      <c r="F6" s="8" t="s">
        <v>25</v>
      </c>
      <c r="G6" s="8">
        <f>LOOKUP('User Input'!B10,conversion!A1:A29,conversion!B1:B29)</f>
        <v>0.625</v>
      </c>
      <c r="H6" s="8">
        <f>G6*0.5</f>
        <v>0.3125</v>
      </c>
    </row>
    <row r="7" spans="1:8" x14ac:dyDescent="0.35">
      <c r="A7" s="8" t="s">
        <v>21</v>
      </c>
      <c r="B7" s="8">
        <f>B6-1</f>
        <v>3</v>
      </c>
      <c r="G7" s="8">
        <f>SUM(G4:G6)</f>
        <v>2.375</v>
      </c>
    </row>
    <row r="9" spans="1:8" x14ac:dyDescent="0.35">
      <c r="A9" s="27" t="s">
        <v>170</v>
      </c>
    </row>
    <row r="10" spans="1:8" x14ac:dyDescent="0.35">
      <c r="A10" s="8" t="s">
        <v>0</v>
      </c>
      <c r="D10" s="8" t="s">
        <v>1</v>
      </c>
      <c r="G10" s="8" t="s">
        <v>2</v>
      </c>
    </row>
    <row r="11" spans="1:8" x14ac:dyDescent="0.35">
      <c r="A11" s="8" t="s">
        <v>4</v>
      </c>
      <c r="B11" s="8">
        <f>LOOKUP('User Input'!B6,'Geometric Properties'!A3:A31,'Geometric Properties'!B3:B31)</f>
        <v>2.33</v>
      </c>
      <c r="D11" s="8" t="s">
        <v>4</v>
      </c>
      <c r="E11" s="8">
        <f>LOOKUP('User Input'!B10,'Geometric Properties'!A3:A31,'Geometric Properties'!B3:B31)</f>
        <v>2.33</v>
      </c>
      <c r="G11" s="8" t="s">
        <v>11</v>
      </c>
      <c r="H11" s="8">
        <f>B5*D5</f>
        <v>1.6875</v>
      </c>
    </row>
    <row r="12" spans="1:8" x14ac:dyDescent="0.35">
      <c r="A12" s="8" t="s">
        <v>5</v>
      </c>
      <c r="B12" s="8">
        <f>LOOKUP('User Input'!B6,'Geometric Properties'!A3:A31,'Geometric Properties'!C3:C31)</f>
        <v>0.121</v>
      </c>
      <c r="D12" s="8" t="s">
        <v>5</v>
      </c>
      <c r="E12" s="8">
        <f>LOOKUP('User Input'!B10,'Geometric Properties'!A3:A31,'Geometric Properties'!C3:C31)</f>
        <v>0.121</v>
      </c>
      <c r="G12" s="8" t="s">
        <v>12</v>
      </c>
      <c r="H12" s="8">
        <f>(B5*D5^3)/12</f>
        <v>0.177978515625</v>
      </c>
    </row>
    <row r="13" spans="1:8" x14ac:dyDescent="0.35">
      <c r="A13" s="8" t="s">
        <v>6</v>
      </c>
      <c r="B13" s="8">
        <f>LOOKUP('User Input'!B6,'Geometric Properties'!A3:A31,'Geometric Properties'!G3:G31)</f>
        <v>0.01</v>
      </c>
      <c r="D13" s="8" t="s">
        <v>6</v>
      </c>
      <c r="E13" s="8">
        <f>LOOKUP('User Input'!B10,'Geometric Properties'!A3:A31,'Geometric Properties'!G3:G31)</f>
        <v>0.01</v>
      </c>
      <c r="G13" s="8" t="s">
        <v>13</v>
      </c>
      <c r="H13" s="8">
        <f>LOOKUP('User Input'!B17,'Stringer Design Values'!A2:A12,'Stringer Design Values'!K2:K12)</f>
        <v>135</v>
      </c>
    </row>
    <row r="14" spans="1:8" x14ac:dyDescent="0.35">
      <c r="A14" s="8" t="s">
        <v>7</v>
      </c>
      <c r="B14" s="8">
        <f>INDEX('Allowable Stresses'!C2:E5,MATCH('User Input'!B8,'Allowable Stresses'!B2:B5,0),MATCH('User Input'!B7,'Allowable Stresses'!C1:E1,0))</f>
        <v>1200</v>
      </c>
      <c r="D14" s="8" t="s">
        <v>7</v>
      </c>
      <c r="E14" s="8">
        <f>INDEX('Allowable Stresses'!C2:E5,MATCH('User Input'!B12,'Allowable Stresses'!B2:B5,0),MATCH('User Input'!B11,'Allowable Stresses'!C1:E1,0))</f>
        <v>1200</v>
      </c>
      <c r="G14" s="8" t="s">
        <v>14</v>
      </c>
      <c r="H14" s="8">
        <f>INDEX('Stringer Design Values'!B2:J12,MATCH('User Input'!B17,'Stringer Design Values'!A2:A12,0),MATCH('User Input'!B18,'Stringer Design Values'!B1:J1,0))</f>
        <v>1400000</v>
      </c>
    </row>
    <row r="15" spans="1:8" x14ac:dyDescent="0.35">
      <c r="A15" s="8" t="s">
        <v>8</v>
      </c>
      <c r="B15" s="8">
        <f>INDEX('Allowable Stresses'!C6:E9,MATCH('User Input'!B8,'Allowable Stresses'!B6:B9),MATCH('User Input'!B7,'Allowable Stresses'!C1:E1))</f>
        <v>990</v>
      </c>
      <c r="D15" s="8" t="s">
        <v>8</v>
      </c>
      <c r="E15" s="8">
        <f>INDEX('Allowable Stresses'!C6:E9,MATCH('User Input'!B12,'Allowable Stresses'!B6:B9),MATCH('User Input'!B11,'Allowable Stresses'!C1:E1))</f>
        <v>990</v>
      </c>
      <c r="G15" s="8" t="s">
        <v>27</v>
      </c>
      <c r="H15" s="8">
        <f>1.03*H14</f>
        <v>1442000</v>
      </c>
    </row>
    <row r="16" spans="1:8" x14ac:dyDescent="0.35">
      <c r="A16" s="8" t="s">
        <v>9</v>
      </c>
      <c r="B16" s="8">
        <f>INDEX('Allowable Stresses'!C14:E17,MATCH('User Input'!B8,'Allowable Stresses'!B14:B17),MATCH('User Input'!B7,'Allowable Stresses'!C1:E1))</f>
        <v>48</v>
      </c>
      <c r="D16" s="8" t="s">
        <v>9</v>
      </c>
      <c r="E16" s="8">
        <f>INDEX('Allowable Stresses'!C14:E17,MATCH('User Input'!B12,'Allowable Stresses'!B14:B17),MATCH('User Input'!B11,'Allowable Stresses'!C1:E1))</f>
        <v>48</v>
      </c>
      <c r="G16" s="8" t="s">
        <v>22</v>
      </c>
      <c r="H16" s="8">
        <f>(B4-B6*B5)/B7</f>
        <v>14</v>
      </c>
    </row>
    <row r="17" spans="1:8" x14ac:dyDescent="0.35">
      <c r="A17" s="8" t="s">
        <v>14</v>
      </c>
      <c r="B17" s="8">
        <f>INDEX('Allowable Stresses'!C18:E21,MATCH('User Input'!B8,'Allowable Stresses'!B18:B21),MATCH('User Input'!B7,'Allowable Stresses'!C1:E1))</f>
        <v>1200000</v>
      </c>
      <c r="D17" s="8" t="s">
        <v>10</v>
      </c>
      <c r="E17" s="8">
        <f>INDEX('Allowable Stresses'!C18:E21,MATCH('User Input'!B12,'Allowable Stresses'!B18:B21),MATCH('User Input'!B11,'Allowable Stresses'!C1:E1))</f>
        <v>1200000</v>
      </c>
      <c r="G17" s="8" t="s">
        <v>40</v>
      </c>
      <c r="H17" s="8">
        <f>0.06*H15</f>
        <v>86520</v>
      </c>
    </row>
    <row r="18" spans="1:8" x14ac:dyDescent="0.35">
      <c r="A18" s="8" t="s">
        <v>27</v>
      </c>
      <c r="B18" s="8">
        <f>1.1*B17</f>
        <v>1320000</v>
      </c>
      <c r="D18" s="8" t="s">
        <v>27</v>
      </c>
      <c r="E18" s="8">
        <f>E17*1.1</f>
        <v>1320000</v>
      </c>
    </row>
    <row r="19" spans="1:8" x14ac:dyDescent="0.35">
      <c r="A19" s="8" t="s">
        <v>15</v>
      </c>
      <c r="B19" s="8">
        <f>LOOKUP('User Input'!B6,'b-spacing'!A2:A24,'b-spacing'!B2:B24)</f>
        <v>23</v>
      </c>
      <c r="D19" s="8" t="s">
        <v>15</v>
      </c>
      <c r="E19" s="8">
        <f>LOOKUP('User Input'!B10,'b-spacing'!A2:A24,'b-spacing'!B2:B24)</f>
        <v>23</v>
      </c>
    </row>
    <row r="21" spans="1:8" x14ac:dyDescent="0.35">
      <c r="A21" s="27" t="s">
        <v>171</v>
      </c>
    </row>
    <row r="22" spans="1:8" x14ac:dyDescent="0.35">
      <c r="A22" s="8" t="s">
        <v>17</v>
      </c>
      <c r="B22" s="22">
        <f>(384*B17*B13*12*(H16/240))/(H16^4)</f>
        <v>83.965014577259481</v>
      </c>
    </row>
    <row r="24" spans="1:8" x14ac:dyDescent="0.35">
      <c r="A24" s="27" t="s">
        <v>172</v>
      </c>
    </row>
    <row r="25" spans="1:8" x14ac:dyDescent="0.35">
      <c r="A25" s="27" t="s">
        <v>173</v>
      </c>
    </row>
    <row r="26" spans="1:8" x14ac:dyDescent="0.35">
      <c r="B26" s="8" t="s">
        <v>26</v>
      </c>
      <c r="C26" s="8" t="s">
        <v>27</v>
      </c>
      <c r="D26" s="8" t="s">
        <v>28</v>
      </c>
      <c r="E26" s="8" t="s">
        <v>34</v>
      </c>
      <c r="F26" s="8" t="s">
        <v>35</v>
      </c>
    </row>
    <row r="27" spans="1:8" x14ac:dyDescent="0.35">
      <c r="A27" s="8" t="s">
        <v>23</v>
      </c>
      <c r="B27" s="8">
        <f>B3*B11</f>
        <v>9.32</v>
      </c>
      <c r="C27" s="8">
        <f>1.1*B17</f>
        <v>1320000</v>
      </c>
      <c r="D27" s="8">
        <f>B27*C27</f>
        <v>12302400</v>
      </c>
      <c r="E27" s="8">
        <f>H4</f>
        <v>2.0625</v>
      </c>
      <c r="F27" s="8">
        <f>D27*E27</f>
        <v>25373700</v>
      </c>
    </row>
    <row r="28" spans="1:8" x14ac:dyDescent="0.35">
      <c r="A28" s="8" t="s">
        <v>24</v>
      </c>
      <c r="B28" s="8">
        <f>B6*H11</f>
        <v>6.75</v>
      </c>
      <c r="C28" s="8">
        <f>1.03*H14</f>
        <v>1442000</v>
      </c>
      <c r="D28" s="8">
        <f t="shared" ref="D28:D29" si="0">B28*C28</f>
        <v>9733500</v>
      </c>
      <c r="E28" s="8">
        <f>H5</f>
        <v>1.1875</v>
      </c>
      <c r="F28" s="8">
        <f t="shared" ref="F28:F29" si="1">D28*E28</f>
        <v>11558531.25</v>
      </c>
    </row>
    <row r="29" spans="1:8" x14ac:dyDescent="0.35">
      <c r="A29" s="8" t="s">
        <v>25</v>
      </c>
      <c r="B29" s="8">
        <f>B3*E11</f>
        <v>9.32</v>
      </c>
      <c r="C29" s="8">
        <f>1.1*E17</f>
        <v>1320000</v>
      </c>
      <c r="D29" s="8">
        <f t="shared" si="0"/>
        <v>12302400</v>
      </c>
      <c r="E29" s="8">
        <f>H6</f>
        <v>0.3125</v>
      </c>
      <c r="F29" s="8">
        <f t="shared" si="1"/>
        <v>3844500</v>
      </c>
    </row>
    <row r="30" spans="1:8" x14ac:dyDescent="0.35">
      <c r="D30" s="8">
        <f>SUM(D27:D29)</f>
        <v>34338300</v>
      </c>
      <c r="F30" s="8">
        <f>SUM(F27:F29)</f>
        <v>40776731.25</v>
      </c>
    </row>
    <row r="31" spans="1:8" x14ac:dyDescent="0.35">
      <c r="D31" s="23">
        <f>F30/D30</f>
        <v>1.1875</v>
      </c>
    </row>
    <row r="32" spans="1:8" x14ac:dyDescent="0.35">
      <c r="A32" s="27" t="s">
        <v>174</v>
      </c>
    </row>
    <row r="33" spans="1:7" x14ac:dyDescent="0.35">
      <c r="B33" s="8" t="s">
        <v>36</v>
      </c>
      <c r="C33" s="8" t="s">
        <v>3</v>
      </c>
      <c r="D33" s="8" t="s">
        <v>37</v>
      </c>
      <c r="E33" s="8" t="s">
        <v>38</v>
      </c>
      <c r="F33" s="8" t="s">
        <v>32</v>
      </c>
      <c r="G33" s="8" t="s">
        <v>39</v>
      </c>
    </row>
    <row r="34" spans="1:7" x14ac:dyDescent="0.35">
      <c r="A34" s="8" t="s">
        <v>23</v>
      </c>
      <c r="B34" s="8">
        <f>B3*B12</f>
        <v>0.48399999999999999</v>
      </c>
      <c r="C34" s="8">
        <f>B27</f>
        <v>9.32</v>
      </c>
      <c r="D34" s="8">
        <f>(D31-H4)^2</f>
        <v>0.765625</v>
      </c>
      <c r="E34" s="8">
        <f>B34+C34*D34</f>
        <v>7.6196250000000001</v>
      </c>
      <c r="F34" s="8">
        <f>B18</f>
        <v>1320000</v>
      </c>
      <c r="G34" s="8">
        <f>E34*F34</f>
        <v>10057905</v>
      </c>
    </row>
    <row r="35" spans="1:7" x14ac:dyDescent="0.35">
      <c r="A35" s="8" t="s">
        <v>24</v>
      </c>
      <c r="B35" s="8">
        <f>B6*H12</f>
        <v>0.7119140625</v>
      </c>
      <c r="C35" s="8">
        <f>B28</f>
        <v>6.75</v>
      </c>
      <c r="D35" s="8">
        <f>(D31-H5)^2</f>
        <v>0</v>
      </c>
      <c r="E35" s="8">
        <f t="shared" ref="E35:E36" si="2">B35+C35*D35</f>
        <v>0.7119140625</v>
      </c>
      <c r="F35" s="8">
        <f>H15</f>
        <v>1442000</v>
      </c>
      <c r="G35" s="8">
        <f t="shared" ref="G35:G36" si="3">E35*F35</f>
        <v>1026580.078125</v>
      </c>
    </row>
    <row r="36" spans="1:7" x14ac:dyDescent="0.35">
      <c r="A36" s="8" t="s">
        <v>25</v>
      </c>
      <c r="B36" s="8">
        <f>B3*E12</f>
        <v>0.48399999999999999</v>
      </c>
      <c r="C36" s="8">
        <f>B29</f>
        <v>9.32</v>
      </c>
      <c r="D36" s="8">
        <f>(D31-H6)^2</f>
        <v>0.765625</v>
      </c>
      <c r="E36" s="8">
        <f t="shared" si="2"/>
        <v>7.6196250000000001</v>
      </c>
      <c r="F36" s="8">
        <f>E18</f>
        <v>1320000</v>
      </c>
      <c r="G36" s="8">
        <f t="shared" si="3"/>
        <v>10057905</v>
      </c>
    </row>
    <row r="37" spans="1:7" x14ac:dyDescent="0.35">
      <c r="G37" s="23">
        <f>SUM(G34:G36)</f>
        <v>21142390.078125</v>
      </c>
    </row>
    <row r="38" spans="1:7" x14ac:dyDescent="0.35">
      <c r="A38" s="27" t="s">
        <v>175</v>
      </c>
    </row>
    <row r="39" spans="1:7" x14ac:dyDescent="0.35">
      <c r="A39" s="8" t="s">
        <v>29</v>
      </c>
      <c r="B39" s="22">
        <f>1/((240*D3)*(((7.5*D3^2/G37)+(0.6/(C35*H17)))))</f>
        <v>252.21606940868605</v>
      </c>
    </row>
    <row r="41" spans="1:7" x14ac:dyDescent="0.35">
      <c r="A41" s="27" t="s">
        <v>176</v>
      </c>
    </row>
    <row r="42" spans="1:7" x14ac:dyDescent="0.35">
      <c r="A42" s="27" t="s">
        <v>177</v>
      </c>
    </row>
    <row r="43" spans="1:7" x14ac:dyDescent="0.35">
      <c r="A43" s="8" t="s">
        <v>165</v>
      </c>
      <c r="B43" s="8">
        <v>48</v>
      </c>
    </row>
    <row r="45" spans="1:7" x14ac:dyDescent="0.35">
      <c r="B45" s="8" t="s">
        <v>26</v>
      </c>
      <c r="C45" s="8" t="s">
        <v>27</v>
      </c>
      <c r="D45" s="8" t="s">
        <v>28</v>
      </c>
      <c r="E45" s="8" t="s">
        <v>34</v>
      </c>
      <c r="F45" s="8" t="s">
        <v>35</v>
      </c>
    </row>
    <row r="46" spans="1:7" x14ac:dyDescent="0.35">
      <c r="A46" s="8" t="s">
        <v>23</v>
      </c>
      <c r="B46" s="8">
        <f>B11*B3</f>
        <v>9.32</v>
      </c>
      <c r="C46" s="8">
        <f>B18</f>
        <v>1320000</v>
      </c>
      <c r="D46" s="8">
        <f>B46*C46</f>
        <v>12302400</v>
      </c>
      <c r="E46" s="8">
        <f>H4</f>
        <v>2.0625</v>
      </c>
      <c r="F46" s="8">
        <f>D46*E46</f>
        <v>25373700</v>
      </c>
    </row>
    <row r="47" spans="1:7" x14ac:dyDescent="0.35">
      <c r="A47" s="8" t="s">
        <v>24</v>
      </c>
      <c r="B47" s="8">
        <f>B5*D5*B6</f>
        <v>6.75</v>
      </c>
      <c r="C47" s="8">
        <f>H15</f>
        <v>1442000</v>
      </c>
      <c r="D47" s="8">
        <f t="shared" ref="D47:D48" si="4">B47*C47</f>
        <v>9733500</v>
      </c>
      <c r="E47" s="8">
        <f>H5</f>
        <v>1.1875</v>
      </c>
      <c r="F47" s="8">
        <f t="shared" ref="F47:F48" si="5">D47*E47</f>
        <v>11558531.25</v>
      </c>
    </row>
    <row r="48" spans="1:7" x14ac:dyDescent="0.35">
      <c r="A48" s="8" t="s">
        <v>25</v>
      </c>
      <c r="B48" s="8">
        <f>E11*B3*(B43/B4)</f>
        <v>9.32</v>
      </c>
      <c r="C48" s="8">
        <f>E18</f>
        <v>1320000</v>
      </c>
      <c r="D48" s="8">
        <f t="shared" si="4"/>
        <v>12302400</v>
      </c>
      <c r="E48" s="8">
        <f>H6</f>
        <v>0.3125</v>
      </c>
      <c r="F48" s="8">
        <f t="shared" si="5"/>
        <v>3844500</v>
      </c>
    </row>
    <row r="49" spans="1:7" x14ac:dyDescent="0.35">
      <c r="D49" s="8">
        <f>SUM(D46:D48)</f>
        <v>34338300</v>
      </c>
      <c r="F49" s="8">
        <f>SUM(F46:F48)</f>
        <v>40776731.25</v>
      </c>
    </row>
    <row r="50" spans="1:7" x14ac:dyDescent="0.35">
      <c r="D50" s="23">
        <f>F49/D49</f>
        <v>1.1875</v>
      </c>
    </row>
    <row r="51" spans="1:7" x14ac:dyDescent="0.35">
      <c r="A51" s="27" t="s">
        <v>178</v>
      </c>
    </row>
    <row r="52" spans="1:7" x14ac:dyDescent="0.35">
      <c r="B52" s="8" t="s">
        <v>36</v>
      </c>
      <c r="C52" s="8" t="s">
        <v>3</v>
      </c>
      <c r="D52" s="8" t="s">
        <v>41</v>
      </c>
      <c r="E52" s="8" t="s">
        <v>42</v>
      </c>
      <c r="F52" s="8" t="s">
        <v>32</v>
      </c>
      <c r="G52" s="8" t="s">
        <v>43</v>
      </c>
    </row>
    <row r="53" spans="1:7" x14ac:dyDescent="0.35">
      <c r="A53" s="8" t="s">
        <v>23</v>
      </c>
      <c r="B53" s="8">
        <f>B34</f>
        <v>0.48399999999999999</v>
      </c>
      <c r="C53" s="8">
        <f>C34</f>
        <v>9.32</v>
      </c>
      <c r="D53" s="8">
        <f>(D31-H4)^2</f>
        <v>0.765625</v>
      </c>
      <c r="E53" s="8">
        <f>B53+C53*D53</f>
        <v>7.6196250000000001</v>
      </c>
      <c r="F53" s="8">
        <f>F34</f>
        <v>1320000</v>
      </c>
      <c r="G53" s="8">
        <f>E53*F53</f>
        <v>10057905</v>
      </c>
    </row>
    <row r="54" spans="1:7" x14ac:dyDescent="0.35">
      <c r="A54" s="8" t="s">
        <v>24</v>
      </c>
      <c r="B54" s="8">
        <f>B35</f>
        <v>0.7119140625</v>
      </c>
      <c r="C54" s="8">
        <f>C35</f>
        <v>6.75</v>
      </c>
      <c r="D54" s="8">
        <f>(D31-H5)^2</f>
        <v>0</v>
      </c>
      <c r="E54" s="8">
        <f t="shared" ref="E54:E55" si="6">B54+C54*D54</f>
        <v>0.7119140625</v>
      </c>
      <c r="F54" s="8">
        <f>F35</f>
        <v>1442000</v>
      </c>
      <c r="G54" s="8">
        <f t="shared" ref="G54:G55" si="7">E54*F54</f>
        <v>1026580.078125</v>
      </c>
    </row>
    <row r="55" spans="1:7" x14ac:dyDescent="0.35">
      <c r="A55" s="8" t="s">
        <v>25</v>
      </c>
      <c r="B55" s="8">
        <f>0.029</f>
        <v>2.9000000000000001E-2</v>
      </c>
      <c r="C55" s="8">
        <f>B48</f>
        <v>9.32</v>
      </c>
      <c r="D55" s="8">
        <f>(D31-H6)^2</f>
        <v>0.765625</v>
      </c>
      <c r="E55" s="8">
        <f t="shared" si="6"/>
        <v>7.164625</v>
      </c>
      <c r="F55" s="8">
        <f>F36</f>
        <v>1320000</v>
      </c>
      <c r="G55" s="8">
        <f t="shared" si="7"/>
        <v>9457305</v>
      </c>
    </row>
    <row r="56" spans="1:7" x14ac:dyDescent="0.35">
      <c r="G56" s="23">
        <f>SUM(G53:G55)</f>
        <v>20541790.078125</v>
      </c>
    </row>
    <row r="57" spans="1:7" x14ac:dyDescent="0.35">
      <c r="A57" s="27" t="s">
        <v>179</v>
      </c>
    </row>
    <row r="58" spans="1:7" x14ac:dyDescent="0.35">
      <c r="B58" s="8" t="s">
        <v>52</v>
      </c>
      <c r="C58" s="8" t="s">
        <v>53</v>
      </c>
      <c r="D58" s="8" t="s">
        <v>56</v>
      </c>
    </row>
    <row r="59" spans="1:7" x14ac:dyDescent="0.35">
      <c r="A59" s="8" t="s">
        <v>23</v>
      </c>
      <c r="B59" s="8">
        <f>B19</f>
        <v>23</v>
      </c>
      <c r="C59" s="8">
        <f>H16</f>
        <v>14</v>
      </c>
      <c r="D59" s="8">
        <f>C59/B59</f>
        <v>0.60869565217391308</v>
      </c>
      <c r="E59" s="13">
        <f>IF(D59&gt;=1,0.667,IF(D59&lt;=0.5,1,IF((1&gt;D59&gt;0.5),(1-((D59-0.5)*2/3)))))</f>
        <v>0.92753623188405798</v>
      </c>
    </row>
    <row r="60" spans="1:7" x14ac:dyDescent="0.35">
      <c r="A60" s="8" t="s">
        <v>25</v>
      </c>
      <c r="B60" s="8">
        <f>E19</f>
        <v>23</v>
      </c>
      <c r="C60" s="8">
        <f>H16</f>
        <v>14</v>
      </c>
      <c r="D60" s="8">
        <f>C60/B60</f>
        <v>0.60869565217391308</v>
      </c>
      <c r="E60" s="8">
        <f>IF(D60&gt;=1,0.667,IF(D60&lt;=0.5,1,IF((1&gt;D60&gt;0.5),(1-((D60-0.5)*2/3)))))</f>
        <v>0.92753623188405798</v>
      </c>
    </row>
    <row r="62" spans="1:7" x14ac:dyDescent="0.35">
      <c r="A62" s="8" t="s">
        <v>44</v>
      </c>
      <c r="B62" s="8">
        <f>B15</f>
        <v>990</v>
      </c>
      <c r="C62" s="8">
        <f>E59</f>
        <v>0.92753623188405798</v>
      </c>
      <c r="D62" s="23">
        <f>B62*C62</f>
        <v>918.26086956521738</v>
      </c>
    </row>
    <row r="63" spans="1:7" x14ac:dyDescent="0.35">
      <c r="A63" s="8" t="s">
        <v>45</v>
      </c>
      <c r="B63" s="8">
        <f>E14</f>
        <v>1200</v>
      </c>
      <c r="C63" s="8">
        <f>E60</f>
        <v>0.92753623188405798</v>
      </c>
      <c r="D63" s="23">
        <f>B63*C63</f>
        <v>1113.0434782608695</v>
      </c>
    </row>
    <row r="64" spans="1:7" x14ac:dyDescent="0.35">
      <c r="A64" s="27" t="s">
        <v>180</v>
      </c>
    </row>
    <row r="65" spans="1:4" x14ac:dyDescent="0.35">
      <c r="A65" s="8" t="s">
        <v>47</v>
      </c>
      <c r="B65" s="22">
        <f>(8*D62*G56)/(48*(G7-D50)*(D3^2)*B18)</f>
        <v>180.86606820397816</v>
      </c>
    </row>
    <row r="66" spans="1:4" x14ac:dyDescent="0.35">
      <c r="A66" s="8" t="s">
        <v>46</v>
      </c>
      <c r="B66" s="22">
        <f>(8*D63*G56)/(48*D50*(D3^2)*E18)</f>
        <v>219.23159782300382</v>
      </c>
    </row>
    <row r="68" spans="1:4" x14ac:dyDescent="0.35">
      <c r="A68" s="27" t="s">
        <v>181</v>
      </c>
    </row>
    <row r="70" spans="1:4" x14ac:dyDescent="0.35">
      <c r="A70" s="27" t="s">
        <v>182</v>
      </c>
      <c r="B70" s="27"/>
    </row>
    <row r="71" spans="1:4" x14ac:dyDescent="0.35">
      <c r="A71" s="27" t="s">
        <v>183</v>
      </c>
      <c r="B71" s="27"/>
    </row>
    <row r="72" spans="1:4" x14ac:dyDescent="0.35">
      <c r="B72" s="8" t="s">
        <v>3</v>
      </c>
      <c r="C72" s="8" t="s">
        <v>79</v>
      </c>
    </row>
    <row r="73" spans="1:4" x14ac:dyDescent="0.35">
      <c r="A73" s="8" t="s">
        <v>73</v>
      </c>
      <c r="B73" s="26">
        <f>LOOKUP(A73,'A and y"'!A4:A26,'A and y"'!B4:B26)</f>
        <v>4.5599999999999996</v>
      </c>
      <c r="C73" s="26">
        <f>LOOKUP(A73,'A and y"'!A4:A26,'A and y"'!C4:C26)</f>
        <v>4.7500000000000001E-2</v>
      </c>
      <c r="D73" s="26"/>
    </row>
    <row r="74" spans="1:4" x14ac:dyDescent="0.35">
      <c r="A74" s="27"/>
      <c r="B74" s="28"/>
      <c r="C74" s="26"/>
      <c r="D74" s="26"/>
    </row>
    <row r="75" spans="1:4" x14ac:dyDescent="0.35">
      <c r="A75" s="8" t="s">
        <v>81</v>
      </c>
      <c r="B75" s="26">
        <f>G7-D31-C73</f>
        <v>1.1399999999999999</v>
      </c>
      <c r="C75" s="26"/>
      <c r="D75" s="26"/>
    </row>
    <row r="76" spans="1:4" x14ac:dyDescent="0.35">
      <c r="A76" s="8" t="s">
        <v>80</v>
      </c>
      <c r="B76" s="29">
        <f>B73*B75</f>
        <v>5.1983999999999995</v>
      </c>
      <c r="C76" s="26"/>
      <c r="D76" s="26"/>
    </row>
    <row r="77" spans="1:4" x14ac:dyDescent="0.35">
      <c r="A77" s="27" t="s">
        <v>184</v>
      </c>
      <c r="B77" s="28"/>
      <c r="C77" s="26"/>
      <c r="D77" s="26"/>
    </row>
    <row r="78" spans="1:4" x14ac:dyDescent="0.35">
      <c r="A78" s="8" t="s">
        <v>82</v>
      </c>
      <c r="B78" s="29">
        <f>((B16*0.5)*2*B5)+(B16*(B6-2)*B5)</f>
        <v>216</v>
      </c>
      <c r="C78" s="26"/>
      <c r="D78" s="26"/>
    </row>
    <row r="79" spans="1:4" x14ac:dyDescent="0.35">
      <c r="A79" s="27" t="s">
        <v>185</v>
      </c>
      <c r="B79" s="26"/>
      <c r="C79" s="26"/>
      <c r="D79" s="26"/>
    </row>
    <row r="80" spans="1:4" x14ac:dyDescent="0.35">
      <c r="A80" s="8" t="s">
        <v>54</v>
      </c>
      <c r="B80" s="30">
        <f>(2*G37*B78)/(4*B76*D3*B18)</f>
        <v>99.928640290969327</v>
      </c>
      <c r="C80" s="26"/>
      <c r="D80" s="26"/>
    </row>
    <row r="81" spans="1:4" x14ac:dyDescent="0.35">
      <c r="B81" s="26"/>
      <c r="C81" s="26"/>
      <c r="D81" s="26"/>
    </row>
    <row r="82" spans="1:4" x14ac:dyDescent="0.35">
      <c r="A82" s="27" t="s">
        <v>186</v>
      </c>
      <c r="B82" s="26"/>
      <c r="C82" s="26"/>
      <c r="D82" s="26"/>
    </row>
    <row r="83" spans="1:4" x14ac:dyDescent="0.35">
      <c r="A83" s="27" t="s">
        <v>187</v>
      </c>
      <c r="B83" s="26"/>
      <c r="C83" s="26"/>
      <c r="D83" s="26"/>
    </row>
    <row r="84" spans="1:4" x14ac:dyDescent="0.35">
      <c r="A84" s="8" t="s">
        <v>83</v>
      </c>
      <c r="B84" s="13">
        <f>B5*(G7-D31-G4)</f>
        <v>0.84375</v>
      </c>
    </row>
    <row r="85" spans="1:4" x14ac:dyDescent="0.35">
      <c r="A85" s="8" t="s">
        <v>84</v>
      </c>
      <c r="B85" s="13">
        <f>0.5*(G7-D31-G4)</f>
        <v>0.28125</v>
      </c>
    </row>
    <row r="86" spans="1:4" x14ac:dyDescent="0.35">
      <c r="A86" s="8" t="s">
        <v>85</v>
      </c>
      <c r="B86" s="13">
        <f>B84*B85</f>
        <v>0.2373046875</v>
      </c>
    </row>
    <row r="87" spans="1:4" x14ac:dyDescent="0.35">
      <c r="A87" s="8" t="s">
        <v>86</v>
      </c>
      <c r="B87" s="13">
        <f>B3*B11</f>
        <v>9.32</v>
      </c>
    </row>
    <row r="88" spans="1:4" x14ac:dyDescent="0.35">
      <c r="A88" s="8" t="s">
        <v>87</v>
      </c>
      <c r="B88" s="13">
        <f>((G7-D31)-G4/2)</f>
        <v>0.875</v>
      </c>
    </row>
    <row r="89" spans="1:4" x14ac:dyDescent="0.35">
      <c r="A89" s="8" t="s">
        <v>88</v>
      </c>
      <c r="B89" s="13">
        <f>B87*B88</f>
        <v>8.1550000000000011</v>
      </c>
    </row>
    <row r="90" spans="1:4" x14ac:dyDescent="0.35">
      <c r="A90" s="8" t="s">
        <v>89</v>
      </c>
      <c r="B90" s="25">
        <f>B6*B86+((B18/H15)*B89)</f>
        <v>8.4142672936893206</v>
      </c>
    </row>
    <row r="91" spans="1:4" x14ac:dyDescent="0.35">
      <c r="A91" s="27" t="s">
        <v>188</v>
      </c>
    </row>
    <row r="92" spans="1:4" x14ac:dyDescent="0.35">
      <c r="A92" s="8" t="s">
        <v>55</v>
      </c>
      <c r="B92" s="22">
        <f>(2*G37*H13*B5*B6)/(4*B90*D3*H15)</f>
        <v>211.92554399679466</v>
      </c>
    </row>
  </sheetData>
  <pageMargins left="0.7" right="0.7" top="0.75" bottom="0.75" header="0.3" footer="0.3"/>
  <pageSetup scale="74" fitToHeight="0" orientation="portrait" blackAndWhite="1" r:id="rId1"/>
  <ignoredErrors>
    <ignoredError sqref="B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9CAFB-2462-4A8A-A863-E2E4031DB8F6}">
  <dimension ref="A1:K12"/>
  <sheetViews>
    <sheetView workbookViewId="0">
      <selection activeCell="A24" sqref="A24"/>
    </sheetView>
  </sheetViews>
  <sheetFormatPr defaultRowHeight="14.5" x14ac:dyDescent="0.35"/>
  <cols>
    <col min="1" max="1" width="19.81640625" bestFit="1" customWidth="1"/>
    <col min="2" max="2" width="14.36328125" bestFit="1" customWidth="1"/>
    <col min="3" max="3" width="9.453125" bestFit="1" customWidth="1"/>
    <col min="8" max="8" width="11.36328125" bestFit="1" customWidth="1"/>
  </cols>
  <sheetData>
    <row r="1" spans="1:11" ht="15.5" x14ac:dyDescent="0.35">
      <c r="A1" s="3"/>
      <c r="B1" s="3" t="s">
        <v>138</v>
      </c>
      <c r="C1" s="3" t="s">
        <v>146</v>
      </c>
      <c r="D1" s="3" t="s">
        <v>139</v>
      </c>
      <c r="E1" s="3" t="s">
        <v>140</v>
      </c>
      <c r="F1" s="3" t="s">
        <v>141</v>
      </c>
      <c r="G1" s="3" t="s">
        <v>142</v>
      </c>
      <c r="H1" s="3" t="s">
        <v>143</v>
      </c>
      <c r="I1" s="3" t="s">
        <v>144</v>
      </c>
      <c r="J1" s="3" t="s">
        <v>145</v>
      </c>
      <c r="K1" s="3" t="s">
        <v>96</v>
      </c>
    </row>
    <row r="2" spans="1:11" ht="15.5" x14ac:dyDescent="0.35">
      <c r="A2" s="3" t="s">
        <v>127</v>
      </c>
      <c r="B2" s="1">
        <v>1900000</v>
      </c>
      <c r="C2" s="1">
        <v>1800000</v>
      </c>
      <c r="D2" s="1">
        <v>1700000</v>
      </c>
      <c r="E2" s="1">
        <v>1600000</v>
      </c>
      <c r="F2" s="1">
        <v>1400000</v>
      </c>
      <c r="G2" s="1">
        <v>1400000</v>
      </c>
      <c r="H2" s="1">
        <v>1500000</v>
      </c>
      <c r="I2" s="1">
        <v>1400000</v>
      </c>
      <c r="J2" s="1">
        <v>1300000</v>
      </c>
      <c r="K2" s="1">
        <v>180</v>
      </c>
    </row>
    <row r="3" spans="1:11" ht="15.5" x14ac:dyDescent="0.35">
      <c r="A3" s="3" t="s">
        <v>128</v>
      </c>
      <c r="B3" s="1">
        <v>1400000</v>
      </c>
      <c r="C3" s="1" t="s">
        <v>124</v>
      </c>
      <c r="D3" s="1">
        <v>1300000</v>
      </c>
      <c r="E3" s="1">
        <v>1200000</v>
      </c>
      <c r="F3" s="1">
        <v>1100000</v>
      </c>
      <c r="G3" s="1">
        <v>1100000</v>
      </c>
      <c r="H3" s="1">
        <v>1200000</v>
      </c>
      <c r="I3" s="1">
        <v>1100000</v>
      </c>
      <c r="J3" s="1">
        <v>1000000</v>
      </c>
      <c r="K3" s="1">
        <v>180</v>
      </c>
    </row>
    <row r="4" spans="1:11" ht="15.5" x14ac:dyDescent="0.35">
      <c r="A4" s="3" t="s">
        <v>129</v>
      </c>
      <c r="B4" s="1">
        <v>1200000</v>
      </c>
      <c r="C4" s="1" t="s">
        <v>124</v>
      </c>
      <c r="D4" s="1">
        <v>1100000</v>
      </c>
      <c r="E4" s="1">
        <v>1100000</v>
      </c>
      <c r="F4" s="1">
        <v>900000</v>
      </c>
      <c r="G4" s="1">
        <v>900000</v>
      </c>
      <c r="H4" s="1">
        <v>1000000</v>
      </c>
      <c r="I4" s="1">
        <v>900000</v>
      </c>
      <c r="J4" s="1">
        <v>800000</v>
      </c>
      <c r="K4" s="1">
        <v>140</v>
      </c>
    </row>
    <row r="5" spans="1:11" ht="15.5" x14ac:dyDescent="0.35">
      <c r="A5" s="3" t="s">
        <v>130</v>
      </c>
      <c r="B5" s="1">
        <v>1200000</v>
      </c>
      <c r="C5" s="1" t="s">
        <v>124</v>
      </c>
      <c r="D5" s="1">
        <v>1100000</v>
      </c>
      <c r="E5" s="1">
        <v>1100000</v>
      </c>
      <c r="F5" s="1">
        <v>900000</v>
      </c>
      <c r="G5" s="1">
        <v>900000</v>
      </c>
      <c r="H5" s="1">
        <v>1000000</v>
      </c>
      <c r="I5" s="1">
        <v>900000</v>
      </c>
      <c r="J5" s="1">
        <v>800000</v>
      </c>
      <c r="K5" s="1">
        <v>135</v>
      </c>
    </row>
    <row r="6" spans="1:11" ht="15.5" x14ac:dyDescent="0.35">
      <c r="A6" s="3" t="s">
        <v>131</v>
      </c>
      <c r="B6" s="1">
        <v>1600000</v>
      </c>
      <c r="C6" s="1">
        <v>1500000</v>
      </c>
      <c r="D6" s="1">
        <v>1500000</v>
      </c>
      <c r="E6" s="1">
        <v>1300000</v>
      </c>
      <c r="F6" s="1">
        <v>1200000</v>
      </c>
      <c r="G6" s="1">
        <v>1200000</v>
      </c>
      <c r="H6" s="1">
        <v>1300000</v>
      </c>
      <c r="I6" s="1">
        <v>1200000</v>
      </c>
      <c r="J6" s="1">
        <v>1100000</v>
      </c>
      <c r="K6" s="1">
        <v>150</v>
      </c>
    </row>
    <row r="7" spans="1:11" ht="15.5" x14ac:dyDescent="0.35">
      <c r="A7" s="3" t="s">
        <v>137</v>
      </c>
      <c r="B7" s="1"/>
      <c r="C7" s="1"/>
      <c r="D7" s="1"/>
      <c r="E7" s="1"/>
      <c r="F7" s="1"/>
      <c r="G7" s="1"/>
      <c r="H7" s="1"/>
      <c r="I7" s="1"/>
      <c r="J7" s="1"/>
      <c r="K7" s="1">
        <v>175</v>
      </c>
    </row>
    <row r="8" spans="1:11" ht="15.5" x14ac:dyDescent="0.35">
      <c r="A8" s="3" t="s">
        <v>132</v>
      </c>
      <c r="B8" s="1">
        <v>1400000</v>
      </c>
      <c r="C8" s="1">
        <v>1300000</v>
      </c>
      <c r="D8" s="1"/>
      <c r="E8" s="1"/>
      <c r="F8" s="1"/>
      <c r="G8" s="1"/>
      <c r="H8" s="1"/>
      <c r="I8" s="1"/>
      <c r="J8" s="1"/>
      <c r="K8" s="1">
        <v>160</v>
      </c>
    </row>
    <row r="9" spans="1:11" ht="15.5" x14ac:dyDescent="0.35">
      <c r="A9" s="3" t="s">
        <v>136</v>
      </c>
      <c r="B9" s="1">
        <v>1800000</v>
      </c>
      <c r="C9" s="1" t="s">
        <v>124</v>
      </c>
      <c r="D9" s="1">
        <v>1700000</v>
      </c>
      <c r="E9" s="1">
        <v>1600000</v>
      </c>
      <c r="F9" s="1">
        <v>1200000</v>
      </c>
      <c r="G9" s="1">
        <v>1200000</v>
      </c>
      <c r="H9" s="1">
        <v>1300000</v>
      </c>
      <c r="I9" s="1">
        <v>1200000</v>
      </c>
      <c r="J9" s="1">
        <v>1100000</v>
      </c>
      <c r="K9" s="1">
        <v>175</v>
      </c>
    </row>
    <row r="10" spans="1:11" ht="15.5" x14ac:dyDescent="0.35">
      <c r="A10" s="3" t="s">
        <v>133</v>
      </c>
      <c r="B10" s="1">
        <v>1500000</v>
      </c>
      <c r="C10" s="1" t="s">
        <v>124</v>
      </c>
      <c r="D10" s="1">
        <v>1400000</v>
      </c>
      <c r="E10" s="1">
        <v>1400000</v>
      </c>
      <c r="F10" s="1">
        <v>1200000</v>
      </c>
      <c r="G10" s="1">
        <v>1200000</v>
      </c>
      <c r="H10" s="1">
        <v>1300000</v>
      </c>
      <c r="I10" s="1">
        <v>1200000</v>
      </c>
      <c r="J10" s="1">
        <v>1100000</v>
      </c>
      <c r="K10" s="1">
        <v>135</v>
      </c>
    </row>
    <row r="11" spans="1:11" ht="15.5" x14ac:dyDescent="0.35">
      <c r="A11" s="3" t="s">
        <v>134</v>
      </c>
      <c r="B11" s="1">
        <v>1300000</v>
      </c>
      <c r="C11" s="1" t="s">
        <v>124</v>
      </c>
      <c r="D11" s="1">
        <v>1200000</v>
      </c>
      <c r="E11" s="1">
        <v>1100000</v>
      </c>
      <c r="F11" s="1">
        <v>1000000</v>
      </c>
      <c r="G11" s="1">
        <v>1000000</v>
      </c>
      <c r="H11" s="1">
        <v>1000000</v>
      </c>
      <c r="I11" s="1">
        <v>900000</v>
      </c>
      <c r="J11" s="1">
        <v>900000</v>
      </c>
      <c r="K11" s="1">
        <v>135</v>
      </c>
    </row>
    <row r="12" spans="1:11" ht="15.5" x14ac:dyDescent="0.35">
      <c r="A12" s="3" t="s">
        <v>135</v>
      </c>
      <c r="B12" s="1">
        <v>1200000</v>
      </c>
      <c r="C12" s="1" t="s">
        <v>124</v>
      </c>
      <c r="D12" s="1">
        <v>1100000</v>
      </c>
      <c r="E12" s="1">
        <v>1000000</v>
      </c>
      <c r="F12" s="1">
        <v>900000</v>
      </c>
      <c r="G12" s="1">
        <v>900000</v>
      </c>
      <c r="H12" s="1">
        <v>1000000</v>
      </c>
      <c r="I12" s="1">
        <v>900000</v>
      </c>
      <c r="J12" s="1">
        <v>800000</v>
      </c>
      <c r="K12" s="1">
        <v>135</v>
      </c>
    </row>
  </sheetData>
  <sortState xmlns:xlrd2="http://schemas.microsoft.com/office/spreadsheetml/2017/richdata2" ref="A2:K12">
    <sortCondition ref="A1:A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A5A5-B418-4DD8-869F-B5A5F8F9C992}">
  <dimension ref="A1:E26"/>
  <sheetViews>
    <sheetView topLeftCell="B1" zoomScale="77" workbookViewId="0">
      <selection activeCell="G9" sqref="G9"/>
    </sheetView>
  </sheetViews>
  <sheetFormatPr defaultRowHeight="15.5" x14ac:dyDescent="0.35"/>
  <cols>
    <col min="1" max="1" width="13.54296875" style="7" customWidth="1"/>
    <col min="2" max="5" width="10.6328125" style="1" customWidth="1"/>
    <col min="6" max="16384" width="8.7265625" style="1"/>
  </cols>
  <sheetData>
    <row r="1" spans="1:5" x14ac:dyDescent="0.35">
      <c r="A1" s="35"/>
      <c r="B1" s="35"/>
      <c r="C1" s="35"/>
      <c r="D1" s="35"/>
      <c r="E1" s="35"/>
    </row>
    <row r="2" spans="1:5" x14ac:dyDescent="0.35">
      <c r="A2" s="36" t="s">
        <v>51</v>
      </c>
      <c r="B2" s="35" t="s">
        <v>48</v>
      </c>
      <c r="C2" s="35"/>
      <c r="D2" s="35" t="s">
        <v>49</v>
      </c>
      <c r="E2" s="35"/>
    </row>
    <row r="3" spans="1:5" x14ac:dyDescent="0.35">
      <c r="A3" s="36"/>
      <c r="B3" s="4" t="s">
        <v>117</v>
      </c>
      <c r="C3" s="4" t="s">
        <v>50</v>
      </c>
      <c r="D3" s="4" t="s">
        <v>117</v>
      </c>
      <c r="E3" s="4" t="s">
        <v>50</v>
      </c>
    </row>
    <row r="4" spans="1:5" x14ac:dyDescent="0.35">
      <c r="A4" s="9" t="s">
        <v>68</v>
      </c>
      <c r="B4" s="10">
        <v>3.89</v>
      </c>
      <c r="C4" s="11">
        <v>4.0500000000000001E-2</v>
      </c>
      <c r="D4" s="10">
        <v>5.64</v>
      </c>
      <c r="E4" s="11">
        <v>0.245</v>
      </c>
    </row>
    <row r="5" spans="1:5" x14ac:dyDescent="0.35">
      <c r="A5" s="9" t="s">
        <v>73</v>
      </c>
      <c r="B5" s="10">
        <v>4.5599999999999996</v>
      </c>
      <c r="C5" s="11">
        <v>4.7500000000000001E-2</v>
      </c>
      <c r="D5" s="10">
        <v>4.6399999999999997</v>
      </c>
      <c r="E5" s="11">
        <v>0.224</v>
      </c>
    </row>
    <row r="6" spans="1:5" x14ac:dyDescent="0.35">
      <c r="A6" s="9" t="s">
        <v>60</v>
      </c>
      <c r="B6" s="10">
        <v>4.5999999999999996</v>
      </c>
      <c r="C6" s="11">
        <v>5.7500000000000002E-2</v>
      </c>
      <c r="D6" s="10">
        <v>4.03</v>
      </c>
      <c r="E6" s="11">
        <v>0.22700000000000001</v>
      </c>
    </row>
    <row r="7" spans="1:5" x14ac:dyDescent="0.35">
      <c r="A7" s="9" t="s">
        <v>64</v>
      </c>
      <c r="B7" s="10">
        <v>2.54</v>
      </c>
      <c r="C7" s="11">
        <v>2.6499999999999999E-2</v>
      </c>
      <c r="D7" s="10">
        <v>1.39</v>
      </c>
      <c r="E7" s="11">
        <v>0.121</v>
      </c>
    </row>
    <row r="8" spans="1:5" x14ac:dyDescent="0.35">
      <c r="A8" s="9" t="s">
        <v>65</v>
      </c>
      <c r="B8" s="10">
        <v>2.54</v>
      </c>
      <c r="C8" s="11">
        <v>2.6499999999999999E-2</v>
      </c>
      <c r="D8" s="10">
        <v>1.67</v>
      </c>
      <c r="E8" s="11">
        <v>0.16800000000000001</v>
      </c>
    </row>
    <row r="9" spans="1:5" x14ac:dyDescent="0.35">
      <c r="A9" s="9" t="s">
        <v>78</v>
      </c>
      <c r="B9" s="10">
        <v>12.5</v>
      </c>
      <c r="C9" s="11">
        <v>0.35399999999999998</v>
      </c>
      <c r="D9" s="10">
        <v>16.2</v>
      </c>
      <c r="E9" s="11">
        <v>0.54200000000000004</v>
      </c>
    </row>
    <row r="10" spans="1:5" x14ac:dyDescent="0.35">
      <c r="A10" s="9" t="s">
        <v>67</v>
      </c>
      <c r="B10" s="10">
        <v>3.89</v>
      </c>
      <c r="C10" s="11">
        <v>4.0500000000000001E-2</v>
      </c>
      <c r="D10" s="10">
        <v>5</v>
      </c>
      <c r="E10" s="11">
        <v>0.23100000000000001</v>
      </c>
    </row>
    <row r="11" spans="1:5" x14ac:dyDescent="0.35">
      <c r="A11" s="9" t="s">
        <v>59</v>
      </c>
      <c r="B11" s="10">
        <v>4.5999999999999996</v>
      </c>
      <c r="C11" s="11">
        <v>5.7500000000000002E-2</v>
      </c>
      <c r="D11" s="10">
        <v>4.03</v>
      </c>
      <c r="E11" s="11">
        <v>0.22700000000000001</v>
      </c>
    </row>
    <row r="12" spans="1:5" x14ac:dyDescent="0.35">
      <c r="A12" s="9" t="s">
        <v>69</v>
      </c>
      <c r="B12" s="10">
        <v>6.32</v>
      </c>
      <c r="C12" s="11">
        <v>0.156</v>
      </c>
      <c r="D12" s="10">
        <v>5.56</v>
      </c>
      <c r="E12" s="11">
        <v>0.29299999999999998</v>
      </c>
    </row>
    <row r="13" spans="1:5" x14ac:dyDescent="0.35">
      <c r="A13" s="9" t="s">
        <v>74</v>
      </c>
      <c r="B13" s="10">
        <v>4.38</v>
      </c>
      <c r="C13" s="11">
        <v>6.8500000000000005E-2</v>
      </c>
      <c r="D13" s="10">
        <v>6.24</v>
      </c>
      <c r="E13" s="11">
        <v>0.27900000000000003</v>
      </c>
    </row>
    <row r="14" spans="1:5" x14ac:dyDescent="0.35">
      <c r="A14" s="9" t="s">
        <v>61</v>
      </c>
      <c r="B14" s="10">
        <v>4.6399999999999997</v>
      </c>
      <c r="C14" s="11">
        <v>5.8000000000000003E-2</v>
      </c>
      <c r="D14" s="10">
        <v>5.14</v>
      </c>
      <c r="E14" s="11">
        <v>0.28899999999999998</v>
      </c>
    </row>
    <row r="15" spans="1:5" x14ac:dyDescent="0.35">
      <c r="A15" s="9" t="s">
        <v>71</v>
      </c>
      <c r="B15" s="10">
        <v>7.92</v>
      </c>
      <c r="C15" s="11">
        <v>0.22</v>
      </c>
      <c r="D15" s="10">
        <v>6.95</v>
      </c>
      <c r="E15" s="11">
        <v>0.35599999999999998</v>
      </c>
    </row>
    <row r="16" spans="1:5" x14ac:dyDescent="0.35">
      <c r="A16" s="9" t="s">
        <v>76</v>
      </c>
      <c r="B16" s="10">
        <v>5.0599999999999996</v>
      </c>
      <c r="C16" s="11">
        <v>7.9000000000000001E-2</v>
      </c>
      <c r="D16" s="10">
        <v>8.06</v>
      </c>
      <c r="E16" s="11">
        <v>0.34499999999999997</v>
      </c>
    </row>
    <row r="17" spans="1:5" x14ac:dyDescent="0.35">
      <c r="A17" s="9" t="s">
        <v>63</v>
      </c>
      <c r="B17" s="10">
        <v>5.57</v>
      </c>
      <c r="C17" s="11">
        <v>5.8000000000000003E-2</v>
      </c>
      <c r="D17" s="10">
        <v>6.25</v>
      </c>
      <c r="E17" s="11">
        <v>0.35199999999999998</v>
      </c>
    </row>
    <row r="18" spans="1:5" x14ac:dyDescent="0.35">
      <c r="A18" s="9" t="s">
        <v>72</v>
      </c>
      <c r="B18" s="10">
        <v>8.19</v>
      </c>
      <c r="C18" s="11">
        <v>0.23300000000000001</v>
      </c>
      <c r="D18" s="10">
        <v>8.32</v>
      </c>
      <c r="E18" s="11">
        <v>0.371</v>
      </c>
    </row>
    <row r="19" spans="1:5" x14ac:dyDescent="0.35">
      <c r="A19" s="9" t="s">
        <v>77</v>
      </c>
      <c r="B19" s="10">
        <v>5.0599999999999996</v>
      </c>
      <c r="C19" s="11">
        <v>7.9000000000000001E-2</v>
      </c>
      <c r="D19" s="10">
        <v>8.06</v>
      </c>
      <c r="E19" s="11">
        <v>0.34499999999999997</v>
      </c>
    </row>
    <row r="20" spans="1:5" x14ac:dyDescent="0.35">
      <c r="A20" s="9" t="s">
        <v>66</v>
      </c>
      <c r="B20" s="10">
        <v>3.36</v>
      </c>
      <c r="C20" s="11">
        <v>3.5000000000000003E-2</v>
      </c>
      <c r="D20" s="10">
        <v>2.5</v>
      </c>
      <c r="E20" s="11">
        <v>0.184</v>
      </c>
    </row>
    <row r="21" spans="1:5" x14ac:dyDescent="0.35">
      <c r="A21" s="9" t="s">
        <v>58</v>
      </c>
      <c r="B21" s="10">
        <v>3.72</v>
      </c>
      <c r="C21" s="11">
        <v>4.65E-2</v>
      </c>
      <c r="D21" s="10">
        <v>3.19</v>
      </c>
      <c r="E21" s="11">
        <v>0.18</v>
      </c>
    </row>
    <row r="22" spans="1:5" x14ac:dyDescent="0.35">
      <c r="A22" s="12" t="s">
        <v>57</v>
      </c>
      <c r="B22" s="10">
        <v>3</v>
      </c>
      <c r="C22" s="11">
        <v>3.7499999999999999E-2</v>
      </c>
      <c r="D22" s="10">
        <v>2.64</v>
      </c>
      <c r="E22" s="11">
        <v>0.14899999999999999</v>
      </c>
    </row>
    <row r="23" spans="1:5" x14ac:dyDescent="0.35">
      <c r="A23" s="9" t="s">
        <v>70</v>
      </c>
      <c r="B23" s="10">
        <v>6.53</v>
      </c>
      <c r="C23" s="11">
        <v>0.151</v>
      </c>
      <c r="D23" s="10">
        <v>6.11</v>
      </c>
      <c r="E23" s="11">
        <v>0.309</v>
      </c>
    </row>
    <row r="24" spans="1:5" x14ac:dyDescent="0.35">
      <c r="A24" s="9" t="s">
        <v>75</v>
      </c>
      <c r="B24" s="10">
        <v>4.38</v>
      </c>
      <c r="C24" s="11">
        <v>6.8500000000000005E-2</v>
      </c>
      <c r="D24" s="10">
        <v>6.24</v>
      </c>
      <c r="E24" s="11">
        <v>0.27900000000000003</v>
      </c>
    </row>
    <row r="25" spans="1:5" x14ac:dyDescent="0.35">
      <c r="A25" s="9" t="s">
        <v>62</v>
      </c>
      <c r="B25" s="10">
        <v>4.6399999999999997</v>
      </c>
      <c r="C25" s="11">
        <v>5.8000000000000003E-2</v>
      </c>
      <c r="D25" s="10">
        <v>5.14</v>
      </c>
      <c r="E25" s="11">
        <v>0.28899999999999998</v>
      </c>
    </row>
    <row r="26" spans="1:5" x14ac:dyDescent="0.35">
      <c r="A26" s="9" t="s">
        <v>62</v>
      </c>
      <c r="B26" s="10">
        <v>5.57</v>
      </c>
      <c r="C26" s="11">
        <v>5.8000000000000003E-2</v>
      </c>
      <c r="D26" s="10">
        <v>6.25</v>
      </c>
      <c r="E26" s="11">
        <v>0.35199999999999998</v>
      </c>
    </row>
  </sheetData>
  <sortState xmlns:xlrd2="http://schemas.microsoft.com/office/spreadsheetml/2017/richdata2" ref="A4:E26">
    <sortCondition ref="A4:A26"/>
  </sortState>
  <mergeCells count="4">
    <mergeCell ref="A1:E1"/>
    <mergeCell ref="B2:C2"/>
    <mergeCell ref="D2:E2"/>
    <mergeCell ref="A2:A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705F-BA99-41CA-9773-026364D67884}">
  <dimension ref="A1:E21"/>
  <sheetViews>
    <sheetView workbookViewId="0">
      <selection activeCell="G6" sqref="G6"/>
    </sheetView>
  </sheetViews>
  <sheetFormatPr defaultRowHeight="15.5" x14ac:dyDescent="0.35"/>
  <cols>
    <col min="1" max="1" width="8.7265625" style="5"/>
    <col min="2" max="2" width="7.6328125" style="5" bestFit="1" customWidth="1"/>
    <col min="3" max="16384" width="8.7265625" style="5"/>
  </cols>
  <sheetData>
    <row r="1" spans="1:5" ht="35.5" customHeight="1" x14ac:dyDescent="0.35">
      <c r="B1" s="6" t="s">
        <v>90</v>
      </c>
      <c r="C1" s="4" t="s">
        <v>91</v>
      </c>
      <c r="D1" s="4" t="s">
        <v>92</v>
      </c>
      <c r="E1" s="4" t="s">
        <v>93</v>
      </c>
    </row>
    <row r="2" spans="1:5" x14ac:dyDescent="0.35">
      <c r="A2" s="35" t="s">
        <v>94</v>
      </c>
      <c r="B2" s="5">
        <v>1</v>
      </c>
      <c r="C2" s="5">
        <v>2000</v>
      </c>
      <c r="D2" s="5">
        <v>1650</v>
      </c>
      <c r="E2" s="5">
        <v>1650</v>
      </c>
    </row>
    <row r="3" spans="1:5" x14ac:dyDescent="0.35">
      <c r="A3" s="35"/>
      <c r="B3" s="5">
        <v>2</v>
      </c>
      <c r="C3" s="5">
        <v>1400</v>
      </c>
      <c r="D3" s="5">
        <v>1200</v>
      </c>
      <c r="E3" s="5">
        <v>1200</v>
      </c>
    </row>
    <row r="4" spans="1:5" x14ac:dyDescent="0.35">
      <c r="A4" s="35"/>
      <c r="B4" s="5">
        <v>3</v>
      </c>
      <c r="C4" s="5">
        <v>1400</v>
      </c>
      <c r="D4" s="5">
        <v>1200</v>
      </c>
      <c r="E4" s="5">
        <v>1200</v>
      </c>
    </row>
    <row r="5" spans="1:5" x14ac:dyDescent="0.35">
      <c r="A5" s="35"/>
      <c r="B5" s="5">
        <v>4</v>
      </c>
      <c r="C5" s="5">
        <v>1330</v>
      </c>
      <c r="D5" s="5">
        <v>1110</v>
      </c>
      <c r="E5" s="5">
        <v>1110</v>
      </c>
    </row>
    <row r="6" spans="1:5" x14ac:dyDescent="0.35">
      <c r="A6" s="35" t="s">
        <v>95</v>
      </c>
      <c r="B6" s="5">
        <v>1</v>
      </c>
      <c r="C6" s="5">
        <v>1640</v>
      </c>
      <c r="D6" s="5">
        <v>1540</v>
      </c>
      <c r="E6" s="5">
        <v>1540</v>
      </c>
    </row>
    <row r="7" spans="1:5" x14ac:dyDescent="0.35">
      <c r="A7" s="35"/>
      <c r="B7" s="5">
        <v>2</v>
      </c>
      <c r="C7" s="5">
        <v>1200</v>
      </c>
      <c r="D7" s="5">
        <v>1100</v>
      </c>
      <c r="E7" s="5">
        <v>1100</v>
      </c>
    </row>
    <row r="8" spans="1:5" x14ac:dyDescent="0.35">
      <c r="A8" s="35"/>
      <c r="B8" s="5">
        <v>3</v>
      </c>
      <c r="C8" s="5">
        <v>1060</v>
      </c>
      <c r="D8" s="5">
        <v>990</v>
      </c>
      <c r="E8" s="5">
        <v>990</v>
      </c>
    </row>
    <row r="9" spans="1:5" x14ac:dyDescent="0.35">
      <c r="A9" s="35"/>
      <c r="B9" s="5">
        <v>4</v>
      </c>
      <c r="C9" s="5">
        <v>1000</v>
      </c>
      <c r="D9" s="5">
        <v>950</v>
      </c>
      <c r="E9" s="5">
        <v>950</v>
      </c>
    </row>
    <row r="10" spans="1:5" x14ac:dyDescent="0.35">
      <c r="A10" s="35" t="s">
        <v>96</v>
      </c>
      <c r="B10" s="5">
        <v>1</v>
      </c>
      <c r="C10" s="5">
        <v>190</v>
      </c>
      <c r="D10" s="5">
        <v>190</v>
      </c>
      <c r="E10" s="5">
        <v>160</v>
      </c>
    </row>
    <row r="11" spans="1:5" x14ac:dyDescent="0.35">
      <c r="A11" s="35"/>
      <c r="B11" s="5">
        <v>2</v>
      </c>
      <c r="C11" s="5">
        <v>140</v>
      </c>
      <c r="D11" s="5">
        <v>140</v>
      </c>
      <c r="E11" s="5">
        <v>120</v>
      </c>
    </row>
    <row r="12" spans="1:5" x14ac:dyDescent="0.35">
      <c r="A12" s="35"/>
      <c r="B12" s="5">
        <v>3</v>
      </c>
      <c r="C12" s="5">
        <v>140</v>
      </c>
      <c r="D12" s="5">
        <v>140</v>
      </c>
      <c r="E12" s="5">
        <v>120</v>
      </c>
    </row>
    <row r="13" spans="1:5" x14ac:dyDescent="0.35">
      <c r="A13" s="35"/>
      <c r="B13" s="5">
        <v>4</v>
      </c>
      <c r="C13" s="5">
        <v>130</v>
      </c>
      <c r="D13" s="5">
        <v>130</v>
      </c>
      <c r="E13" s="5">
        <v>115</v>
      </c>
    </row>
    <row r="14" spans="1:5" x14ac:dyDescent="0.35">
      <c r="A14" s="35" t="s">
        <v>97</v>
      </c>
      <c r="B14" s="5">
        <v>1</v>
      </c>
      <c r="C14" s="5">
        <v>53</v>
      </c>
      <c r="D14" s="5">
        <v>53</v>
      </c>
      <c r="E14" s="5">
        <v>48</v>
      </c>
    </row>
    <row r="15" spans="1:5" x14ac:dyDescent="0.35">
      <c r="A15" s="35"/>
      <c r="B15" s="5">
        <v>2</v>
      </c>
      <c r="C15" s="5">
        <v>53</v>
      </c>
      <c r="D15" s="5">
        <v>53</v>
      </c>
      <c r="E15" s="5">
        <v>48</v>
      </c>
    </row>
    <row r="16" spans="1:5" x14ac:dyDescent="0.35">
      <c r="A16" s="35"/>
      <c r="B16" s="5">
        <v>3</v>
      </c>
      <c r="C16" s="5">
        <v>53</v>
      </c>
      <c r="D16" s="5">
        <v>53</v>
      </c>
      <c r="E16" s="5">
        <v>48</v>
      </c>
    </row>
    <row r="17" spans="1:5" x14ac:dyDescent="0.35">
      <c r="A17" s="35"/>
      <c r="B17" s="5">
        <v>4</v>
      </c>
      <c r="C17" s="5">
        <v>53</v>
      </c>
      <c r="D17" s="5">
        <v>53</v>
      </c>
      <c r="E17" s="5">
        <v>48</v>
      </c>
    </row>
    <row r="18" spans="1:5" x14ac:dyDescent="0.35">
      <c r="A18" s="35" t="s">
        <v>10</v>
      </c>
      <c r="B18" s="5">
        <v>1</v>
      </c>
      <c r="C18" s="5">
        <v>1800000</v>
      </c>
      <c r="D18" s="5">
        <v>1800000</v>
      </c>
      <c r="E18" s="5">
        <v>1800000</v>
      </c>
    </row>
    <row r="19" spans="1:5" x14ac:dyDescent="0.35">
      <c r="A19" s="35"/>
      <c r="B19" s="5">
        <v>2</v>
      </c>
      <c r="C19" s="5">
        <v>1500000</v>
      </c>
      <c r="D19" s="5">
        <v>1500000</v>
      </c>
      <c r="E19" s="5">
        <v>1500000</v>
      </c>
    </row>
    <row r="20" spans="1:5" x14ac:dyDescent="0.35">
      <c r="A20" s="35"/>
      <c r="B20" s="5">
        <v>3</v>
      </c>
      <c r="C20" s="5">
        <v>1200000</v>
      </c>
      <c r="D20" s="5">
        <v>1200000</v>
      </c>
      <c r="E20" s="5">
        <v>1200000</v>
      </c>
    </row>
    <row r="21" spans="1:5" x14ac:dyDescent="0.35">
      <c r="A21" s="35"/>
      <c r="B21" s="5">
        <v>4</v>
      </c>
      <c r="C21" s="5">
        <v>1000000</v>
      </c>
      <c r="D21" s="5">
        <v>1000000</v>
      </c>
      <c r="E21" s="5">
        <v>1000000</v>
      </c>
    </row>
  </sheetData>
  <mergeCells count="5">
    <mergeCell ref="A2:A5"/>
    <mergeCell ref="A6:A9"/>
    <mergeCell ref="A10:A13"/>
    <mergeCell ref="A14:A17"/>
    <mergeCell ref="A18:A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3BE5-2512-43E1-B2D7-3080C126985C}">
  <dimension ref="A1:I31"/>
  <sheetViews>
    <sheetView zoomScaleNormal="85" workbookViewId="0">
      <selection activeCell="D21" sqref="D21"/>
    </sheetView>
  </sheetViews>
  <sheetFormatPr defaultRowHeight="15.5" x14ac:dyDescent="0.35"/>
  <cols>
    <col min="1" max="1" width="8.7265625" style="14"/>
    <col min="2" max="2" width="9.26953125" style="14" bestFit="1" customWidth="1"/>
    <col min="3" max="3" width="8.453125" style="14" bestFit="1" customWidth="1"/>
    <col min="4" max="4" width="10.36328125" style="14" bestFit="1" customWidth="1"/>
    <col min="5" max="5" width="11.7265625" style="14" bestFit="1" customWidth="1"/>
    <col min="6" max="6" width="9.26953125" style="14" bestFit="1" customWidth="1"/>
    <col min="7" max="7" width="8.453125" style="14" bestFit="1" customWidth="1"/>
    <col min="8" max="8" width="10.36328125" style="14" bestFit="1" customWidth="1"/>
    <col min="9" max="9" width="11.7265625" style="14" bestFit="1" customWidth="1"/>
    <col min="10" max="16384" width="8.7265625" style="14"/>
  </cols>
  <sheetData>
    <row r="1" spans="1:9" x14ac:dyDescent="0.35">
      <c r="B1" s="37" t="s">
        <v>118</v>
      </c>
      <c r="C1" s="37"/>
      <c r="D1" s="37"/>
      <c r="E1" s="37"/>
      <c r="F1" s="37" t="s">
        <v>119</v>
      </c>
      <c r="G1" s="37"/>
      <c r="H1" s="37"/>
      <c r="I1" s="37"/>
    </row>
    <row r="2" spans="1:9" ht="18.5" x14ac:dyDescent="0.35">
      <c r="B2" s="14" t="s">
        <v>120</v>
      </c>
      <c r="C2" s="14" t="s">
        <v>121</v>
      </c>
      <c r="D2" s="14" t="s">
        <v>122</v>
      </c>
      <c r="E2" s="14" t="s">
        <v>123</v>
      </c>
      <c r="F2" s="14" t="s">
        <v>120</v>
      </c>
      <c r="G2" s="14" t="s">
        <v>121</v>
      </c>
      <c r="H2" s="14" t="s">
        <v>122</v>
      </c>
      <c r="I2" s="14" t="s">
        <v>123</v>
      </c>
    </row>
    <row r="3" spans="1:9" x14ac:dyDescent="0.35">
      <c r="A3" s="14" t="s">
        <v>68</v>
      </c>
      <c r="B3" s="14">
        <v>1.9470000000000001</v>
      </c>
      <c r="C3" s="14">
        <v>7.6999999999999999E-2</v>
      </c>
      <c r="D3" s="14">
        <v>0.23599999999999999</v>
      </c>
      <c r="E3" s="14">
        <v>4.4660000000000002</v>
      </c>
      <c r="F3" s="14">
        <v>1.24</v>
      </c>
      <c r="G3" s="14">
        <v>8.9999999999999993E-3</v>
      </c>
      <c r="H3" s="14">
        <v>8.6999999999999994E-2</v>
      </c>
      <c r="I3" s="14">
        <v>2.7519999999999998</v>
      </c>
    </row>
    <row r="4" spans="1:9" x14ac:dyDescent="0.35">
      <c r="A4" s="14" t="s">
        <v>73</v>
      </c>
      <c r="B4" s="14">
        <v>2.698</v>
      </c>
      <c r="C4" s="14">
        <v>8.3000000000000004E-2</v>
      </c>
      <c r="D4" s="14">
        <v>0.27100000000000002</v>
      </c>
      <c r="E4" s="14">
        <v>4.2519999999999998</v>
      </c>
      <c r="F4" s="14">
        <v>1.159</v>
      </c>
      <c r="G4" s="14">
        <v>6.0000000000000001E-3</v>
      </c>
      <c r="H4" s="14">
        <v>6.0999999999999999E-2</v>
      </c>
      <c r="I4" s="14">
        <v>2.746</v>
      </c>
    </row>
    <row r="5" spans="1:9" x14ac:dyDescent="0.35">
      <c r="A5" s="14" t="s">
        <v>60</v>
      </c>
      <c r="B5" s="14">
        <v>2.2919999999999998</v>
      </c>
      <c r="C5" s="14">
        <v>6.7000000000000004E-2</v>
      </c>
      <c r="D5" s="14">
        <v>0.21299999999999999</v>
      </c>
      <c r="E5" s="14">
        <v>3.9209999999999998</v>
      </c>
      <c r="F5" s="14">
        <v>1.0069999999999999</v>
      </c>
      <c r="G5" s="14">
        <v>4.0000000000000001E-3</v>
      </c>
      <c r="H5" s="14">
        <v>5.6000000000000001E-2</v>
      </c>
      <c r="I5" s="14">
        <v>2.4500000000000002</v>
      </c>
    </row>
    <row r="6" spans="1:9" x14ac:dyDescent="0.35">
      <c r="A6" s="14" t="s">
        <v>64</v>
      </c>
      <c r="B6" s="14">
        <v>0.996</v>
      </c>
      <c r="C6" s="14">
        <v>8.0000000000000002E-3</v>
      </c>
      <c r="D6" s="14">
        <v>5.8999999999999997E-2</v>
      </c>
      <c r="E6" s="14">
        <v>2.0099999999999998</v>
      </c>
      <c r="F6" s="14">
        <v>0.34799999999999998</v>
      </c>
      <c r="G6" s="14">
        <v>1E-3</v>
      </c>
      <c r="H6" s="14">
        <v>8.9999999999999993E-3</v>
      </c>
      <c r="I6" s="14">
        <v>2.0190000000000001</v>
      </c>
    </row>
    <row r="7" spans="1:9" x14ac:dyDescent="0.35">
      <c r="A7" s="14" t="s">
        <v>65</v>
      </c>
      <c r="B7" s="14">
        <v>0.996</v>
      </c>
      <c r="C7" s="14">
        <v>1.9E-2</v>
      </c>
      <c r="D7" s="14">
        <v>9.2999999999999999E-2</v>
      </c>
      <c r="E7" s="14">
        <v>2.7650000000000001</v>
      </c>
      <c r="F7" s="14">
        <v>0.41699999999999998</v>
      </c>
      <c r="G7" s="14">
        <v>1E-3</v>
      </c>
      <c r="H7" s="14">
        <v>1.6E-2</v>
      </c>
      <c r="I7" s="14">
        <v>2.589</v>
      </c>
    </row>
    <row r="8" spans="1:9" x14ac:dyDescent="0.35">
      <c r="A8" s="14" t="s">
        <v>104</v>
      </c>
      <c r="B8" s="14">
        <v>3.8540000000000001</v>
      </c>
      <c r="C8" s="14">
        <v>0.54800000000000004</v>
      </c>
      <c r="D8" s="14">
        <v>0.82</v>
      </c>
      <c r="E8" s="14">
        <v>9.8829999999999991</v>
      </c>
      <c r="F8" s="14">
        <v>3.18</v>
      </c>
      <c r="G8" s="14">
        <v>0.27100000000000002</v>
      </c>
      <c r="H8" s="14">
        <v>0.74399999999999999</v>
      </c>
      <c r="I8" s="14">
        <v>8.4280000000000008</v>
      </c>
    </row>
    <row r="9" spans="1:9" x14ac:dyDescent="0.35">
      <c r="A9" s="14" t="s">
        <v>78</v>
      </c>
      <c r="B9" s="14">
        <v>4.548</v>
      </c>
      <c r="C9" s="14">
        <v>0.63300000000000001</v>
      </c>
      <c r="D9" s="14">
        <v>0.97699999999999998</v>
      </c>
      <c r="E9" s="14">
        <v>11.257999999999999</v>
      </c>
      <c r="F9" s="14">
        <v>4.0670000000000002</v>
      </c>
      <c r="G9" s="14">
        <v>0.27200000000000002</v>
      </c>
      <c r="H9" s="14">
        <v>0.74299999999999999</v>
      </c>
      <c r="I9" s="14">
        <v>8.5350000000000001</v>
      </c>
    </row>
    <row r="10" spans="1:9" x14ac:dyDescent="0.35">
      <c r="A10" s="14" t="s">
        <v>101</v>
      </c>
      <c r="B10" s="14">
        <v>4.7249999999999996</v>
      </c>
      <c r="C10" s="14">
        <v>0.67600000000000005</v>
      </c>
      <c r="D10" s="14">
        <v>1.0469999999999999</v>
      </c>
      <c r="E10" s="14">
        <v>9.9600000000000009</v>
      </c>
      <c r="F10" s="14">
        <v>3.0790000000000002</v>
      </c>
      <c r="G10" s="14">
        <v>0.28799999999999998</v>
      </c>
      <c r="H10" s="14">
        <v>0.76800000000000002</v>
      </c>
      <c r="I10" s="14">
        <v>7.931</v>
      </c>
    </row>
    <row r="11" spans="1:9" x14ac:dyDescent="0.35">
      <c r="A11" s="14" t="s">
        <v>67</v>
      </c>
      <c r="B11" s="14">
        <v>1.9470000000000001</v>
      </c>
      <c r="C11" s="14">
        <v>6.6000000000000003E-2</v>
      </c>
      <c r="D11" s="14">
        <v>0.214</v>
      </c>
      <c r="E11" s="14">
        <v>4.1130000000000004</v>
      </c>
      <c r="F11" s="14">
        <v>1.204</v>
      </c>
      <c r="G11" s="14">
        <v>6.0000000000000001E-3</v>
      </c>
      <c r="H11" s="14">
        <v>6.7000000000000004E-2</v>
      </c>
      <c r="I11" s="14">
        <v>2.4340000000000002</v>
      </c>
    </row>
    <row r="12" spans="1:9" x14ac:dyDescent="0.35">
      <c r="A12" s="14" t="s">
        <v>59</v>
      </c>
      <c r="B12" s="14">
        <v>2.2919999999999998</v>
      </c>
      <c r="C12" s="14">
        <v>6.7000000000000004E-2</v>
      </c>
      <c r="D12" s="14">
        <v>0.21299999999999999</v>
      </c>
      <c r="E12" s="14">
        <v>3.9209999999999998</v>
      </c>
      <c r="F12" s="14">
        <v>1.0069999999999999</v>
      </c>
      <c r="G12" s="14">
        <v>4.0000000000000001E-3</v>
      </c>
      <c r="H12" s="14">
        <v>5.6000000000000001E-2</v>
      </c>
      <c r="I12" s="14">
        <v>2.4500000000000002</v>
      </c>
    </row>
    <row r="13" spans="1:9" x14ac:dyDescent="0.35">
      <c r="A13" s="14" t="s">
        <v>69</v>
      </c>
      <c r="B13" s="14">
        <v>2.4319999999999999</v>
      </c>
      <c r="C13" s="14">
        <v>0.115</v>
      </c>
      <c r="D13" s="14">
        <v>0.315</v>
      </c>
      <c r="E13" s="14">
        <v>5.4710000000000001</v>
      </c>
      <c r="F13" s="14">
        <v>1.389</v>
      </c>
      <c r="G13" s="14">
        <v>2.1000000000000001E-2</v>
      </c>
      <c r="H13" s="14">
        <v>0.13700000000000001</v>
      </c>
      <c r="I13" s="14">
        <v>2.8610000000000002</v>
      </c>
    </row>
    <row r="14" spans="1:9" x14ac:dyDescent="0.35">
      <c r="A14" s="14" t="s">
        <v>74</v>
      </c>
      <c r="B14" s="14">
        <v>2.3540000000000001</v>
      </c>
      <c r="C14" s="14">
        <v>0.123</v>
      </c>
      <c r="D14" s="14">
        <v>0.32700000000000001</v>
      </c>
      <c r="E14" s="14">
        <v>5.3460000000000001</v>
      </c>
      <c r="F14" s="14">
        <v>1.5549999999999999</v>
      </c>
      <c r="G14" s="14">
        <v>1.6E-2</v>
      </c>
      <c r="H14" s="14">
        <v>0.13500000000000001</v>
      </c>
      <c r="I14" s="14">
        <v>3.22</v>
      </c>
    </row>
    <row r="15" spans="1:9" x14ac:dyDescent="0.35">
      <c r="A15" s="14" t="s">
        <v>61</v>
      </c>
      <c r="B15" s="14">
        <v>2.33</v>
      </c>
      <c r="C15" s="14">
        <v>0.121</v>
      </c>
      <c r="D15" s="14">
        <v>0.379</v>
      </c>
      <c r="E15" s="14">
        <v>5.0039999999999996</v>
      </c>
      <c r="F15" s="14">
        <v>1.2849999999999999</v>
      </c>
      <c r="G15" s="14">
        <v>0.01</v>
      </c>
      <c r="H15" s="14">
        <v>9.0999999999999998E-2</v>
      </c>
      <c r="I15" s="14">
        <v>3.1059999999999999</v>
      </c>
    </row>
    <row r="16" spans="1:9" x14ac:dyDescent="0.35">
      <c r="A16" s="14" t="s">
        <v>103</v>
      </c>
      <c r="B16" s="14">
        <v>3.7210000000000001</v>
      </c>
      <c r="C16" s="14">
        <v>0.42299999999999999</v>
      </c>
      <c r="D16" s="14">
        <v>0.66400000000000003</v>
      </c>
      <c r="E16" s="14">
        <v>8.8819999999999997</v>
      </c>
      <c r="F16" s="14">
        <v>3.1629999999999998</v>
      </c>
      <c r="G16" s="14">
        <v>0.185</v>
      </c>
      <c r="H16" s="14">
        <v>0.59099999999999997</v>
      </c>
      <c r="I16" s="14">
        <v>7.0309999999999997</v>
      </c>
    </row>
    <row r="17" spans="1:9" x14ac:dyDescent="0.35">
      <c r="A17" s="14" t="s">
        <v>100</v>
      </c>
      <c r="B17" s="14">
        <v>3.9159999999999999</v>
      </c>
      <c r="C17" s="14">
        <v>0.49299999999999999</v>
      </c>
      <c r="D17" s="14">
        <v>0.85899999999999999</v>
      </c>
      <c r="E17" s="14">
        <v>9.2439999999999998</v>
      </c>
      <c r="F17" s="14">
        <v>3.145</v>
      </c>
      <c r="G17" s="14">
        <v>0.21</v>
      </c>
      <c r="H17" s="14">
        <v>0.66</v>
      </c>
      <c r="I17" s="14">
        <v>6.5330000000000004</v>
      </c>
    </row>
    <row r="18" spans="1:9" x14ac:dyDescent="0.35">
      <c r="A18" s="14" t="s">
        <v>71</v>
      </c>
      <c r="B18" s="14">
        <v>2.8220000000000001</v>
      </c>
      <c r="C18" s="14">
        <v>0.17899999999999999</v>
      </c>
      <c r="D18" s="14">
        <v>0.38900000000000001</v>
      </c>
      <c r="E18" s="14">
        <v>6.5810000000000004</v>
      </c>
      <c r="F18" s="14">
        <v>1.7370000000000001</v>
      </c>
      <c r="G18" s="14">
        <v>0.05</v>
      </c>
      <c r="H18" s="14">
        <v>0.23100000000000001</v>
      </c>
      <c r="I18" s="14">
        <v>3.8180000000000001</v>
      </c>
    </row>
    <row r="19" spans="1:9" x14ac:dyDescent="0.35">
      <c r="A19" s="14" t="s">
        <v>76</v>
      </c>
      <c r="B19" s="14">
        <v>2.7149999999999999</v>
      </c>
      <c r="C19" s="14">
        <v>0.193</v>
      </c>
      <c r="D19" s="14">
        <v>0.39800000000000002</v>
      </c>
      <c r="E19" s="14">
        <v>6.5890000000000004</v>
      </c>
      <c r="F19" s="14">
        <v>1.6220000000000001</v>
      </c>
      <c r="G19" s="14">
        <v>3.2000000000000001E-2</v>
      </c>
      <c r="H19" s="14">
        <v>0.219</v>
      </c>
      <c r="I19" s="14">
        <v>3.6349999999999998</v>
      </c>
    </row>
    <row r="20" spans="1:9" x14ac:dyDescent="0.35">
      <c r="A20" s="14" t="s">
        <v>63</v>
      </c>
      <c r="B20" s="14">
        <v>3.2469999999999999</v>
      </c>
      <c r="C20" s="14">
        <v>0.23400000000000001</v>
      </c>
      <c r="D20" s="14">
        <v>0.496</v>
      </c>
      <c r="E20" s="14">
        <v>6.4550000000000001</v>
      </c>
      <c r="F20" s="14">
        <v>1.5629999999999999</v>
      </c>
      <c r="G20" s="14">
        <v>3.5999999999999997E-2</v>
      </c>
      <c r="H20" s="14">
        <v>0.23200000000000001</v>
      </c>
      <c r="I20" s="14">
        <v>3.613</v>
      </c>
    </row>
    <row r="21" spans="1:9" x14ac:dyDescent="0.35">
      <c r="A21" s="14" t="s">
        <v>72</v>
      </c>
      <c r="B21" s="14">
        <v>2.8839999999999999</v>
      </c>
      <c r="C21" s="14">
        <v>0.19700000000000001</v>
      </c>
      <c r="D21" s="14">
        <v>0.41199999999999998</v>
      </c>
      <c r="E21" s="14">
        <v>6.7619999999999996</v>
      </c>
      <c r="F21" s="14">
        <v>2.081</v>
      </c>
      <c r="G21" s="14">
        <v>6.3E-2</v>
      </c>
      <c r="H21" s="14">
        <v>0.28499999999999998</v>
      </c>
      <c r="I21" s="14">
        <v>4.0789999999999997</v>
      </c>
    </row>
    <row r="22" spans="1:9" x14ac:dyDescent="0.35">
      <c r="A22" s="14" t="s">
        <v>77</v>
      </c>
      <c r="B22" s="14">
        <v>2.7149999999999999</v>
      </c>
      <c r="C22" s="14">
        <v>0.193</v>
      </c>
      <c r="D22" s="14">
        <v>0.39800000000000002</v>
      </c>
      <c r="E22" s="14">
        <v>6.5890000000000004</v>
      </c>
      <c r="F22" s="14">
        <v>1.6220000000000001</v>
      </c>
      <c r="G22" s="14">
        <v>3.2000000000000001E-2</v>
      </c>
      <c r="H22" s="14">
        <v>0.219</v>
      </c>
      <c r="I22" s="14">
        <v>3.6349999999999998</v>
      </c>
    </row>
    <row r="23" spans="1:9" x14ac:dyDescent="0.35">
      <c r="A23" s="14" t="s">
        <v>98</v>
      </c>
      <c r="B23" s="14">
        <v>3.2469999999999999</v>
      </c>
      <c r="C23" s="14">
        <v>0.23400000000000001</v>
      </c>
      <c r="D23" s="14">
        <v>0.496</v>
      </c>
      <c r="E23" s="14">
        <v>6.4550000000000001</v>
      </c>
      <c r="F23" s="14">
        <v>1.5629999999999999</v>
      </c>
      <c r="G23" s="14">
        <v>3.5999999999999997E-2</v>
      </c>
      <c r="H23" s="14">
        <v>0.23200000000000001</v>
      </c>
      <c r="I23" s="14">
        <v>3.613</v>
      </c>
    </row>
    <row r="24" spans="1:9" x14ac:dyDescent="0.35">
      <c r="A24" s="14" t="s">
        <v>66</v>
      </c>
      <c r="B24" s="14">
        <v>1.3069999999999999</v>
      </c>
      <c r="C24" s="14">
        <v>2.7E-2</v>
      </c>
      <c r="D24" s="14">
        <v>0.125</v>
      </c>
      <c r="E24" s="14">
        <v>3.0880000000000001</v>
      </c>
      <c r="F24" s="14">
        <v>0.626</v>
      </c>
      <c r="G24" s="14">
        <v>2E-3</v>
      </c>
      <c r="H24" s="14">
        <v>2.3E-2</v>
      </c>
      <c r="I24" s="14">
        <v>3.51</v>
      </c>
    </row>
    <row r="25" spans="1:9" x14ac:dyDescent="0.35">
      <c r="A25" s="14" t="s">
        <v>58</v>
      </c>
      <c r="B25" s="14">
        <v>1.8660000000000001</v>
      </c>
      <c r="C25" s="14">
        <v>3.9E-2</v>
      </c>
      <c r="D25" s="14">
        <v>0.152</v>
      </c>
      <c r="E25" s="14">
        <v>3.11</v>
      </c>
      <c r="F25" s="14">
        <v>0.79900000000000004</v>
      </c>
      <c r="G25" s="14">
        <v>2E-3</v>
      </c>
      <c r="H25" s="14">
        <v>3.3000000000000002E-2</v>
      </c>
      <c r="I25" s="14">
        <v>5.444</v>
      </c>
    </row>
    <row r="26" spans="1:9" x14ac:dyDescent="0.35">
      <c r="A26" s="14" t="s">
        <v>57</v>
      </c>
      <c r="B26" s="14">
        <v>1.4910000000000001</v>
      </c>
      <c r="C26" s="14">
        <v>2.1999999999999999E-2</v>
      </c>
      <c r="D26" s="14">
        <v>0.112</v>
      </c>
      <c r="E26" s="14">
        <v>2.569</v>
      </c>
      <c r="F26" s="14">
        <v>0.66</v>
      </c>
      <c r="G26" s="14">
        <v>1E-3</v>
      </c>
      <c r="H26" s="14">
        <v>2.3E-2</v>
      </c>
      <c r="I26" s="14">
        <v>4.4969999999999999</v>
      </c>
    </row>
    <row r="27" spans="1:9" x14ac:dyDescent="0.35">
      <c r="A27" s="14" t="s">
        <v>70</v>
      </c>
      <c r="B27" s="14">
        <v>2.4750000000000001</v>
      </c>
      <c r="C27" s="14">
        <v>0.129</v>
      </c>
      <c r="D27" s="14">
        <v>0.33900000000000002</v>
      </c>
      <c r="E27" s="14">
        <v>5.8239999999999998</v>
      </c>
      <c r="F27" s="14">
        <v>1.528</v>
      </c>
      <c r="G27" s="14">
        <v>2.7E-2</v>
      </c>
      <c r="H27" s="14">
        <v>0.16400000000000001</v>
      </c>
      <c r="I27" s="14">
        <v>3.1190000000000002</v>
      </c>
    </row>
    <row r="28" spans="1:9" x14ac:dyDescent="0.35">
      <c r="A28" s="14" t="s">
        <v>75</v>
      </c>
      <c r="B28" s="14">
        <v>2.3540000000000001</v>
      </c>
      <c r="C28" s="14">
        <v>0.123</v>
      </c>
      <c r="D28" s="14">
        <v>0.32700000000000001</v>
      </c>
      <c r="E28" s="14">
        <v>5.3460000000000001</v>
      </c>
      <c r="F28" s="14">
        <v>1.5549999999999999</v>
      </c>
      <c r="G28" s="14">
        <v>1.6E-2</v>
      </c>
      <c r="H28" s="14">
        <v>0.13500000000000001</v>
      </c>
      <c r="I28" s="14">
        <v>3.22</v>
      </c>
    </row>
    <row r="29" spans="1:9" x14ac:dyDescent="0.35">
      <c r="A29" s="14" t="s">
        <v>62</v>
      </c>
      <c r="B29" s="14">
        <v>2.33</v>
      </c>
      <c r="C29" s="14">
        <v>0.121</v>
      </c>
      <c r="D29" s="14">
        <v>0.379</v>
      </c>
      <c r="E29" s="14">
        <v>5.0039999999999996</v>
      </c>
      <c r="F29" s="14">
        <v>1.2849999999999999</v>
      </c>
      <c r="G29" s="14">
        <v>0.01</v>
      </c>
      <c r="H29" s="14">
        <v>9.0999999999999998E-2</v>
      </c>
      <c r="I29" s="14">
        <v>3.1059999999999999</v>
      </c>
    </row>
    <row r="30" spans="1:9" x14ac:dyDescent="0.35">
      <c r="A30" s="14" t="s">
        <v>102</v>
      </c>
      <c r="B30" s="14">
        <v>2.9420000000000002</v>
      </c>
      <c r="C30" s="14">
        <v>0.27800000000000002</v>
      </c>
      <c r="D30" s="14">
        <v>0.51500000000000001</v>
      </c>
      <c r="E30" s="14">
        <v>8.0500000000000007</v>
      </c>
      <c r="F30" s="14">
        <v>2.6509999999999998</v>
      </c>
      <c r="G30" s="14">
        <v>0.104</v>
      </c>
      <c r="H30" s="14">
        <v>0.39400000000000002</v>
      </c>
      <c r="I30" s="14">
        <v>5.0780000000000003</v>
      </c>
    </row>
    <row r="31" spans="1:9" x14ac:dyDescent="0.35">
      <c r="A31" s="14" t="s">
        <v>99</v>
      </c>
      <c r="B31" s="14">
        <v>3.5089999999999999</v>
      </c>
      <c r="C31" s="14">
        <v>0.34</v>
      </c>
      <c r="D31" s="14">
        <v>0.67800000000000005</v>
      </c>
      <c r="E31" s="14">
        <v>7.1749999999999998</v>
      </c>
      <c r="F31" s="14">
        <v>1.95</v>
      </c>
      <c r="G31" s="14">
        <v>0.112</v>
      </c>
      <c r="H31" s="14">
        <v>0.39700000000000002</v>
      </c>
      <c r="I31" s="14">
        <v>4.7910000000000004</v>
      </c>
    </row>
  </sheetData>
  <sortState xmlns:xlrd2="http://schemas.microsoft.com/office/spreadsheetml/2017/richdata2" ref="A3:I31">
    <sortCondition ref="A3:A31"/>
  </sortState>
  <mergeCells count="2">
    <mergeCell ref="B1:E1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F419B-BCDC-4BEA-B2AB-2E6D3AAFD7E5}">
  <dimension ref="A1:E29"/>
  <sheetViews>
    <sheetView topLeftCell="A11" workbookViewId="0">
      <selection activeCell="E11" sqref="E11"/>
    </sheetView>
  </sheetViews>
  <sheetFormatPr defaultRowHeight="15.5" x14ac:dyDescent="0.35"/>
  <cols>
    <col min="1" max="1" width="8.7265625" style="1"/>
    <col min="2" max="2" width="8.7265625" style="13"/>
    <col min="3" max="16384" width="8.7265625" style="1"/>
  </cols>
  <sheetData>
    <row r="1" spans="1:5" x14ac:dyDescent="0.35">
      <c r="A1" s="1" t="s">
        <v>68</v>
      </c>
      <c r="B1" s="13">
        <v>0.5</v>
      </c>
      <c r="E1" s="1" t="s">
        <v>57</v>
      </c>
    </row>
    <row r="2" spans="1:5" x14ac:dyDescent="0.35">
      <c r="A2" s="1" t="s">
        <v>73</v>
      </c>
      <c r="B2" s="13">
        <v>0.5</v>
      </c>
      <c r="E2" s="1" t="s">
        <v>58</v>
      </c>
    </row>
    <row r="3" spans="1:5" x14ac:dyDescent="0.35">
      <c r="A3" s="1" t="s">
        <v>60</v>
      </c>
      <c r="B3" s="13">
        <v>0.5</v>
      </c>
      <c r="E3" s="1" t="s">
        <v>59</v>
      </c>
    </row>
    <row r="4" spans="1:5" x14ac:dyDescent="0.35">
      <c r="A4" s="1" t="s">
        <v>64</v>
      </c>
      <c r="B4" s="13">
        <v>0.25</v>
      </c>
      <c r="E4" s="1" t="s">
        <v>60</v>
      </c>
    </row>
    <row r="5" spans="1:5" x14ac:dyDescent="0.35">
      <c r="A5" s="1" t="s">
        <v>65</v>
      </c>
      <c r="B5" s="13">
        <v>0.34375</v>
      </c>
      <c r="E5" s="1" t="s">
        <v>61</v>
      </c>
    </row>
    <row r="6" spans="1:5" x14ac:dyDescent="0.35">
      <c r="A6" s="1" t="s">
        <v>104</v>
      </c>
      <c r="B6" s="13">
        <v>1.125</v>
      </c>
      <c r="E6" s="1" t="s">
        <v>62</v>
      </c>
    </row>
    <row r="7" spans="1:5" x14ac:dyDescent="0.35">
      <c r="A7" s="1" t="s">
        <v>78</v>
      </c>
      <c r="B7" s="13">
        <v>1.125</v>
      </c>
      <c r="E7" s="1" t="s">
        <v>63</v>
      </c>
    </row>
    <row r="8" spans="1:5" x14ac:dyDescent="0.35">
      <c r="A8" s="1" t="s">
        <v>101</v>
      </c>
      <c r="B8" s="13">
        <v>1.125</v>
      </c>
      <c r="E8" s="1" t="s">
        <v>98</v>
      </c>
    </row>
    <row r="9" spans="1:5" x14ac:dyDescent="0.35">
      <c r="A9" s="1" t="s">
        <v>67</v>
      </c>
      <c r="B9" s="13">
        <v>0.46875</v>
      </c>
      <c r="E9" s="1" t="s">
        <v>99</v>
      </c>
    </row>
    <row r="10" spans="1:5" x14ac:dyDescent="0.35">
      <c r="A10" s="1" t="s">
        <v>59</v>
      </c>
      <c r="B10" s="13">
        <v>0.46875</v>
      </c>
      <c r="E10" s="1" t="s">
        <v>100</v>
      </c>
    </row>
    <row r="11" spans="1:5" x14ac:dyDescent="0.35">
      <c r="A11" s="1" t="s">
        <v>69</v>
      </c>
      <c r="B11" s="13">
        <v>0.59375</v>
      </c>
      <c r="E11" s="1" t="s">
        <v>101</v>
      </c>
    </row>
    <row r="12" spans="1:5" x14ac:dyDescent="0.35">
      <c r="A12" s="1" t="s">
        <v>74</v>
      </c>
      <c r="B12" s="13">
        <v>0.59375</v>
      </c>
      <c r="E12" s="1" t="s">
        <v>64</v>
      </c>
    </row>
    <row r="13" spans="1:5" x14ac:dyDescent="0.35">
      <c r="A13" s="1" t="s">
        <v>61</v>
      </c>
      <c r="B13" s="13">
        <v>0.59375</v>
      </c>
      <c r="E13" s="1" t="s">
        <v>65</v>
      </c>
    </row>
    <row r="14" spans="1:5" x14ac:dyDescent="0.35">
      <c r="A14" s="1" t="s">
        <v>103</v>
      </c>
      <c r="B14" s="13">
        <v>1</v>
      </c>
      <c r="E14" s="1" t="s">
        <v>66</v>
      </c>
    </row>
    <row r="15" spans="1:5" x14ac:dyDescent="0.35">
      <c r="A15" s="1" t="s">
        <v>100</v>
      </c>
      <c r="B15" s="13">
        <v>1</v>
      </c>
      <c r="E15" s="1" t="s">
        <v>67</v>
      </c>
    </row>
    <row r="16" spans="1:5" x14ac:dyDescent="0.35">
      <c r="A16" s="1" t="s">
        <v>71</v>
      </c>
      <c r="B16" s="13">
        <v>0.71875</v>
      </c>
      <c r="E16" s="1" t="s">
        <v>68</v>
      </c>
    </row>
    <row r="17" spans="1:5" x14ac:dyDescent="0.35">
      <c r="A17" s="1" t="s">
        <v>76</v>
      </c>
      <c r="B17" s="13">
        <v>0.71875</v>
      </c>
      <c r="E17" s="1" t="s">
        <v>69</v>
      </c>
    </row>
    <row r="18" spans="1:5" x14ac:dyDescent="0.35">
      <c r="A18" s="1" t="s">
        <v>63</v>
      </c>
      <c r="B18" s="13">
        <v>0.71875</v>
      </c>
      <c r="E18" s="1" t="s">
        <v>70</v>
      </c>
    </row>
    <row r="19" spans="1:5" x14ac:dyDescent="0.35">
      <c r="A19" s="1" t="s">
        <v>72</v>
      </c>
      <c r="B19" s="13">
        <v>0.75</v>
      </c>
      <c r="E19" s="1" t="s">
        <v>71</v>
      </c>
    </row>
    <row r="20" spans="1:5" x14ac:dyDescent="0.35">
      <c r="A20" s="1" t="s">
        <v>77</v>
      </c>
      <c r="B20" s="13">
        <v>0.75</v>
      </c>
      <c r="E20" s="15" t="s">
        <v>72</v>
      </c>
    </row>
    <row r="21" spans="1:5" x14ac:dyDescent="0.35">
      <c r="A21" s="1" t="s">
        <v>98</v>
      </c>
      <c r="B21" s="13">
        <v>0.75</v>
      </c>
      <c r="E21" s="1" t="s">
        <v>102</v>
      </c>
    </row>
    <row r="22" spans="1:5" x14ac:dyDescent="0.35">
      <c r="A22" s="1" t="s">
        <v>66</v>
      </c>
      <c r="B22" s="13">
        <v>0.375</v>
      </c>
      <c r="E22" s="1" t="s">
        <v>103</v>
      </c>
    </row>
    <row r="23" spans="1:5" x14ac:dyDescent="0.35">
      <c r="A23" s="1" t="s">
        <v>58</v>
      </c>
      <c r="B23" s="13">
        <v>0.375</v>
      </c>
      <c r="E23" s="1" t="s">
        <v>104</v>
      </c>
    </row>
    <row r="24" spans="1:5" x14ac:dyDescent="0.35">
      <c r="A24" s="1" t="s">
        <v>57</v>
      </c>
      <c r="B24" s="13">
        <v>0.3125</v>
      </c>
      <c r="E24" s="1" t="s">
        <v>73</v>
      </c>
    </row>
    <row r="25" spans="1:5" x14ac:dyDescent="0.35">
      <c r="A25" s="1" t="s">
        <v>70</v>
      </c>
      <c r="B25" s="13">
        <v>0.625</v>
      </c>
      <c r="E25" s="1" t="s">
        <v>74</v>
      </c>
    </row>
    <row r="26" spans="1:5" x14ac:dyDescent="0.35">
      <c r="A26" s="1" t="s">
        <v>75</v>
      </c>
      <c r="B26" s="13">
        <v>0.625</v>
      </c>
      <c r="E26" s="1" t="s">
        <v>75</v>
      </c>
    </row>
    <row r="27" spans="1:5" x14ac:dyDescent="0.35">
      <c r="A27" s="1" t="s">
        <v>62</v>
      </c>
      <c r="B27" s="13">
        <v>0.625</v>
      </c>
      <c r="E27" s="1" t="s">
        <v>76</v>
      </c>
    </row>
    <row r="28" spans="1:5" x14ac:dyDescent="0.35">
      <c r="A28" s="1" t="s">
        <v>102</v>
      </c>
      <c r="B28" s="13">
        <v>0.875</v>
      </c>
      <c r="E28" s="1" t="s">
        <v>77</v>
      </c>
    </row>
    <row r="29" spans="1:5" x14ac:dyDescent="0.35">
      <c r="A29" s="1" t="s">
        <v>99</v>
      </c>
      <c r="B29" s="13">
        <v>0.875</v>
      </c>
      <c r="E29" s="1" t="s">
        <v>78</v>
      </c>
    </row>
  </sheetData>
  <sortState xmlns:xlrd2="http://schemas.microsoft.com/office/spreadsheetml/2017/richdata2" ref="A1:B29">
    <sortCondition ref="A10:A2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33F30-0CB6-4949-9132-7345A60DE06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F13E-6E3E-4028-8103-D81F95664055}">
  <dimension ref="A1:C25"/>
  <sheetViews>
    <sheetView workbookViewId="0">
      <selection activeCell="F13" sqref="F13"/>
    </sheetView>
  </sheetViews>
  <sheetFormatPr defaultRowHeight="15.5" x14ac:dyDescent="0.35"/>
  <cols>
    <col min="1" max="16384" width="8.7265625" style="1"/>
  </cols>
  <sheetData>
    <row r="1" spans="1:3" x14ac:dyDescent="0.35">
      <c r="B1" s="1" t="s">
        <v>125</v>
      </c>
      <c r="C1" s="1" t="s">
        <v>126</v>
      </c>
    </row>
    <row r="2" spans="1:3" x14ac:dyDescent="0.35">
      <c r="A2" s="1" t="s">
        <v>68</v>
      </c>
      <c r="B2" s="2">
        <v>20</v>
      </c>
      <c r="C2" s="2">
        <v>24</v>
      </c>
    </row>
    <row r="3" spans="1:3" x14ac:dyDescent="0.35">
      <c r="A3" s="1" t="s">
        <v>73</v>
      </c>
      <c r="B3" s="2">
        <v>19</v>
      </c>
      <c r="C3" s="2">
        <v>24</v>
      </c>
    </row>
    <row r="4" spans="1:3" x14ac:dyDescent="0.35">
      <c r="A4" s="1" t="s">
        <v>60</v>
      </c>
      <c r="B4" s="2">
        <v>18</v>
      </c>
      <c r="C4" s="2">
        <v>22</v>
      </c>
    </row>
    <row r="5" spans="1:3" x14ac:dyDescent="0.35">
      <c r="A5" s="1" t="s">
        <v>64</v>
      </c>
      <c r="B5" s="2">
        <v>9</v>
      </c>
      <c r="C5" s="2" t="s">
        <v>124</v>
      </c>
    </row>
    <row r="6" spans="1:3" x14ac:dyDescent="0.35">
      <c r="A6" s="1" t="s">
        <v>65</v>
      </c>
      <c r="B6" s="2">
        <v>12</v>
      </c>
      <c r="C6" s="2" t="s">
        <v>124</v>
      </c>
    </row>
    <row r="7" spans="1:3" x14ac:dyDescent="0.35">
      <c r="A7" s="1" t="s">
        <v>78</v>
      </c>
      <c r="B7" s="2" t="s">
        <v>124</v>
      </c>
      <c r="C7" s="2">
        <v>55</v>
      </c>
    </row>
    <row r="8" spans="1:3" x14ac:dyDescent="0.35">
      <c r="A8" s="1" t="s">
        <v>67</v>
      </c>
      <c r="B8" s="2">
        <v>19</v>
      </c>
      <c r="C8" s="2">
        <v>22</v>
      </c>
    </row>
    <row r="9" spans="1:3" x14ac:dyDescent="0.35">
      <c r="A9" s="1" t="s">
        <v>59</v>
      </c>
      <c r="B9" s="2">
        <v>18</v>
      </c>
      <c r="C9" s="2">
        <v>22</v>
      </c>
    </row>
    <row r="10" spans="1:3" x14ac:dyDescent="0.35">
      <c r="A10" s="1" t="s">
        <v>69</v>
      </c>
      <c r="B10" s="2" t="s">
        <v>124</v>
      </c>
      <c r="C10" s="2">
        <v>27</v>
      </c>
    </row>
    <row r="11" spans="1:3" x14ac:dyDescent="0.35">
      <c r="A11" s="1" t="s">
        <v>74</v>
      </c>
      <c r="B11" s="2">
        <v>26</v>
      </c>
      <c r="C11" s="2">
        <v>28</v>
      </c>
    </row>
    <row r="12" spans="1:3" x14ac:dyDescent="0.35">
      <c r="A12" s="1" t="s">
        <v>61</v>
      </c>
      <c r="B12" s="2">
        <v>23</v>
      </c>
      <c r="C12" s="2">
        <v>28</v>
      </c>
    </row>
    <row r="13" spans="1:3" x14ac:dyDescent="0.35">
      <c r="A13" s="1" t="s">
        <v>71</v>
      </c>
      <c r="B13" s="2" t="s">
        <v>124</v>
      </c>
      <c r="C13" s="2">
        <v>33</v>
      </c>
    </row>
    <row r="14" spans="1:3" x14ac:dyDescent="0.35">
      <c r="A14" s="1" t="s">
        <v>76</v>
      </c>
      <c r="B14" s="2">
        <v>32</v>
      </c>
      <c r="C14" s="2">
        <v>34</v>
      </c>
    </row>
    <row r="15" spans="1:3" x14ac:dyDescent="0.35">
      <c r="A15" s="1" t="s">
        <v>63</v>
      </c>
      <c r="B15" s="2">
        <v>31</v>
      </c>
      <c r="C15" s="2">
        <v>32</v>
      </c>
    </row>
    <row r="16" spans="1:3" x14ac:dyDescent="0.35">
      <c r="A16" s="1" t="s">
        <v>72</v>
      </c>
      <c r="B16" s="2" t="s">
        <v>124</v>
      </c>
      <c r="C16" s="2">
        <v>35</v>
      </c>
    </row>
    <row r="17" spans="1:3" x14ac:dyDescent="0.35">
      <c r="A17" s="1" t="s">
        <v>77</v>
      </c>
      <c r="B17" s="2">
        <v>32</v>
      </c>
      <c r="C17" s="2">
        <v>34</v>
      </c>
    </row>
    <row r="18" spans="1:3" x14ac:dyDescent="0.35">
      <c r="A18" s="1" t="s">
        <v>98</v>
      </c>
      <c r="B18" s="2">
        <v>31</v>
      </c>
      <c r="C18" s="2">
        <v>32</v>
      </c>
    </row>
    <row r="19" spans="1:3" x14ac:dyDescent="0.35">
      <c r="A19" s="1" t="s">
        <v>66</v>
      </c>
      <c r="B19" s="2">
        <v>19</v>
      </c>
      <c r="C19" s="2" t="s">
        <v>124</v>
      </c>
    </row>
    <row r="20" spans="1:3" x14ac:dyDescent="0.35">
      <c r="A20" s="1" t="s">
        <v>58</v>
      </c>
      <c r="B20" s="2">
        <v>14</v>
      </c>
      <c r="C20" s="2" t="s">
        <v>124</v>
      </c>
    </row>
    <row r="21" spans="1:3" x14ac:dyDescent="0.35">
      <c r="A21" s="1" t="s">
        <v>57</v>
      </c>
      <c r="B21" s="2">
        <v>12</v>
      </c>
      <c r="C21" s="2" t="s">
        <v>124</v>
      </c>
    </row>
    <row r="22" spans="1:3" x14ac:dyDescent="0.35">
      <c r="A22" s="1" t="s">
        <v>70</v>
      </c>
      <c r="B22" s="2" t="s">
        <v>124</v>
      </c>
      <c r="C22" s="2">
        <v>28</v>
      </c>
    </row>
    <row r="23" spans="1:3" x14ac:dyDescent="0.35">
      <c r="A23" s="1" t="s">
        <v>75</v>
      </c>
      <c r="B23" s="2">
        <v>26</v>
      </c>
      <c r="C23" s="2">
        <v>28</v>
      </c>
    </row>
    <row r="24" spans="1:3" x14ac:dyDescent="0.35">
      <c r="A24" s="1" t="s">
        <v>62</v>
      </c>
      <c r="B24" s="2">
        <v>23</v>
      </c>
      <c r="C24" s="2">
        <v>28</v>
      </c>
    </row>
    <row r="25" spans="1:3" x14ac:dyDescent="0.35">
      <c r="B25" s="2"/>
      <c r="C25" s="2"/>
    </row>
  </sheetData>
  <sortState xmlns:xlrd2="http://schemas.microsoft.com/office/spreadsheetml/2017/richdata2" ref="A2:C24">
    <sortCondition ref="A1:A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User Input</vt:lpstr>
      <vt:lpstr>Calculations</vt:lpstr>
      <vt:lpstr>Stringer Design Values</vt:lpstr>
      <vt:lpstr>A and y"</vt:lpstr>
      <vt:lpstr>Allowable Stresses</vt:lpstr>
      <vt:lpstr>Geometric Properties</vt:lpstr>
      <vt:lpstr>conversion</vt:lpstr>
      <vt:lpstr>Sheet1</vt:lpstr>
      <vt:lpstr>b-spacing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L Mello</dc:creator>
  <cp:lastModifiedBy>Heather L Mello</cp:lastModifiedBy>
  <cp:lastPrinted>2025-04-08T18:30:56Z</cp:lastPrinted>
  <dcterms:created xsi:type="dcterms:W3CDTF">2024-11-12T17:49:14Z</dcterms:created>
  <dcterms:modified xsi:type="dcterms:W3CDTF">2025-04-22T23:07:38Z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606f69-b0ae-4874-be30-7d43a3c7be10_Enabled">
    <vt:lpwstr>true</vt:lpwstr>
  </property>
  <property fmtid="{D5CDD505-2E9C-101B-9397-08002B2CF9AE}" pid="3" name="MSIP_Label_f7606f69-b0ae-4874-be30-7d43a3c7be10_SetDate">
    <vt:lpwstr>2025-04-06T22:02:08Z</vt:lpwstr>
  </property>
  <property fmtid="{D5CDD505-2E9C-101B-9397-08002B2CF9AE}" pid="4" name="MSIP_Label_f7606f69-b0ae-4874-be30-7d43a3c7be10_Method">
    <vt:lpwstr>Standard</vt:lpwstr>
  </property>
  <property fmtid="{D5CDD505-2E9C-101B-9397-08002B2CF9AE}" pid="5" name="MSIP_Label_f7606f69-b0ae-4874-be30-7d43a3c7be10_Name">
    <vt:lpwstr>defa4170-0d19-0005-0001-bc88714345d2</vt:lpwstr>
  </property>
  <property fmtid="{D5CDD505-2E9C-101B-9397-08002B2CF9AE}" pid="6" name="MSIP_Label_f7606f69-b0ae-4874-be30-7d43a3c7be10_SiteId">
    <vt:lpwstr>4130bd39-7c53-419c-b1e5-8758d6d63f21</vt:lpwstr>
  </property>
  <property fmtid="{D5CDD505-2E9C-101B-9397-08002B2CF9AE}" pid="7" name="MSIP_Label_f7606f69-b0ae-4874-be30-7d43a3c7be10_ActionId">
    <vt:lpwstr>e34d5f78-99e9-4baf-bdf4-b6643de737c7</vt:lpwstr>
  </property>
  <property fmtid="{D5CDD505-2E9C-101B-9397-08002B2CF9AE}" pid="8" name="MSIP_Label_f7606f69-b0ae-4874-be30-7d43a3c7be10_ContentBits">
    <vt:lpwstr>0</vt:lpwstr>
  </property>
  <property fmtid="{D5CDD505-2E9C-101B-9397-08002B2CF9AE}" pid="9" name="MSIP_Label_f7606f69-b0ae-4874-be30-7d43a3c7be10_Tag">
    <vt:lpwstr>10, 3, 0, 1</vt:lpwstr>
  </property>
</Properties>
</file>